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workbookProtection lockStructure="1"/>
  <bookViews>
    <workbookView xWindow="0" yWindow="0" windowWidth="21570" windowHeight="9330" tabRatio="874" activeTab="2"/>
  </bookViews>
  <sheets>
    <sheet name="Оглавление" sheetId="6" r:id="rId1"/>
    <sheet name="Видимый верхний трек" sheetId="1" r:id="rId2"/>
    <sheet name="Скрытый верхний трек, корпус" sheetId="4" r:id="rId3"/>
    <sheet name="Скрытый верхний трек, проем" sheetId="5" r:id="rId4"/>
  </sheets>
  <definedNames>
    <definedName name="_xlnm.Print_Area" localSheetId="1">'Видимый верхний трек'!$A$3:$J$37</definedName>
    <definedName name="_xlnm.Print_Area" localSheetId="2">'Скрытый верхний трек, корпус'!$A$2:$J$40</definedName>
    <definedName name="_xlnm.Print_Area" localSheetId="3">'Скрытый верхний трек, проем'!$A$2:$J$44</definedName>
  </definedNames>
  <calcPr calcId="124519"/>
</workbook>
</file>

<file path=xl/calcChain.xml><?xml version="1.0" encoding="utf-8"?>
<calcChain xmlns="http://schemas.openxmlformats.org/spreadsheetml/2006/main">
  <c r="J16" i="5"/>
  <c r="J13"/>
  <c r="J17"/>
  <c r="J14"/>
  <c r="J16" i="1"/>
  <c r="J17"/>
  <c r="J14"/>
  <c r="J13"/>
  <c r="I20"/>
  <c r="G20" s="1"/>
  <c r="H20" s="1"/>
  <c r="E10" i="5"/>
  <c r="E20"/>
  <c r="I20"/>
  <c r="G20" s="1"/>
  <c r="H20" s="1"/>
  <c r="E7"/>
  <c r="E36" l="1"/>
  <c r="E36" i="4"/>
  <c r="I35" i="5"/>
  <c r="G35" s="1"/>
  <c r="H35" s="1"/>
  <c r="I30"/>
  <c r="I29"/>
  <c r="G29" s="1"/>
  <c r="H29" s="1"/>
  <c r="I28"/>
  <c r="G28" s="1"/>
  <c r="H28" s="1"/>
  <c r="I27"/>
  <c r="G27" s="1"/>
  <c r="H27" s="1"/>
  <c r="G30"/>
  <c r="H30" s="1"/>
  <c r="E30"/>
  <c r="E29"/>
  <c r="E27"/>
  <c r="J23"/>
  <c r="J24"/>
  <c r="E24"/>
  <c r="E23"/>
  <c r="E22"/>
  <c r="E21"/>
  <c r="J7"/>
  <c r="E38"/>
  <c r="E37"/>
  <c r="E29" i="4"/>
  <c r="J10" i="5" l="1"/>
  <c r="I27" i="4"/>
  <c r="A11"/>
  <c r="E30"/>
  <c r="E27"/>
  <c r="A2" i="5" l="1"/>
  <c r="J23" i="4"/>
  <c r="J24"/>
  <c r="E10"/>
  <c r="E21"/>
  <c r="E20"/>
  <c r="E24"/>
  <c r="E22"/>
  <c r="I30" i="1"/>
  <c r="I31" i="4" l="1"/>
  <c r="G31" s="1"/>
  <c r="H31" s="1"/>
  <c r="I32"/>
  <c r="I29" i="1"/>
  <c r="I28"/>
  <c r="J22"/>
  <c r="J23"/>
  <c r="J25"/>
  <c r="I35" s="1"/>
  <c r="J24"/>
  <c r="I32" l="1"/>
  <c r="B10" i="5"/>
  <c r="J8" s="1"/>
  <c r="J11" s="1"/>
  <c r="B10" i="4"/>
  <c r="J8" s="1"/>
  <c r="B10" i="1"/>
  <c r="J8" l="1"/>
  <c r="I23" s="1"/>
  <c r="I25" s="1"/>
  <c r="I23" i="5"/>
  <c r="I24" s="1"/>
  <c r="I23" i="4"/>
  <c r="J11"/>
  <c r="J17" l="1"/>
  <c r="J14"/>
  <c r="J7"/>
  <c r="J10" s="1"/>
  <c r="J16" l="1"/>
  <c r="J13"/>
  <c r="G32" i="1"/>
  <c r="H32" s="1"/>
  <c r="I28" i="4" l="1"/>
  <c r="G28" s="1"/>
  <c r="I20"/>
  <c r="I21" i="5"/>
  <c r="I21" i="1"/>
  <c r="G21" s="1"/>
  <c r="H21" s="1"/>
  <c r="J7"/>
  <c r="I31" s="1"/>
  <c r="J22" i="5"/>
  <c r="I30" i="4"/>
  <c r="G30" s="1"/>
  <c r="H30" s="1"/>
  <c r="I29"/>
  <c r="G29" s="1"/>
  <c r="H29" s="1"/>
  <c r="J22"/>
  <c r="I21"/>
  <c r="I34" s="1"/>
  <c r="G34" s="1"/>
  <c r="H34" s="1"/>
  <c r="I33" i="5" l="1"/>
  <c r="I31"/>
  <c r="I32"/>
  <c r="I34"/>
  <c r="G34" s="1"/>
  <c r="H34" s="1"/>
  <c r="G32"/>
  <c r="H32" s="1"/>
  <c r="G31"/>
  <c r="H31" s="1"/>
  <c r="G33"/>
  <c r="H33" s="1"/>
  <c r="G32" i="4"/>
  <c r="H32" s="1"/>
  <c r="I33"/>
  <c r="G33" s="1"/>
  <c r="H33" s="1"/>
  <c r="J10" i="1"/>
  <c r="I33"/>
  <c r="G27" i="4"/>
  <c r="H27" s="1"/>
  <c r="G20"/>
  <c r="G22" i="5"/>
  <c r="H22" s="1"/>
  <c r="G21" i="4"/>
  <c r="H21" s="1"/>
  <c r="G22"/>
  <c r="H28"/>
  <c r="G21" i="5"/>
  <c r="H21" s="1"/>
  <c r="I22"/>
  <c r="I22" i="4"/>
  <c r="G23" l="1"/>
  <c r="H23" s="1"/>
  <c r="I24"/>
  <c r="G23" i="5"/>
  <c r="H23" s="1"/>
  <c r="G24"/>
  <c r="H20" i="4"/>
  <c r="H22"/>
  <c r="H24" i="5" l="1"/>
  <c r="G30" i="1"/>
  <c r="H30" s="1"/>
  <c r="G29"/>
  <c r="H29" s="1"/>
  <c r="I34" l="1"/>
  <c r="G34" s="1"/>
  <c r="H34" s="1"/>
  <c r="G31" l="1"/>
  <c r="H31" s="1"/>
  <c r="G33"/>
  <c r="G22"/>
  <c r="G28" l="1"/>
  <c r="H28" s="1"/>
  <c r="H22"/>
  <c r="H33"/>
  <c r="I22"/>
  <c r="J11"/>
  <c r="I24" l="1"/>
  <c r="G23"/>
  <c r="G35"/>
  <c r="H35" s="1"/>
  <c r="H23" l="1"/>
</calcChain>
</file>

<file path=xl/sharedStrings.xml><?xml version="1.0" encoding="utf-8"?>
<sst xmlns="http://schemas.openxmlformats.org/spreadsheetml/2006/main" count="130" uniqueCount="57">
  <si>
    <t>Высота проёма</t>
  </si>
  <si>
    <t>Количество дверей</t>
  </si>
  <si>
    <t>Количество перекрытий</t>
  </si>
  <si>
    <t>Профили:</t>
  </si>
  <si>
    <t>размер</t>
  </si>
  <si>
    <t>количество</t>
  </si>
  <si>
    <t>высота</t>
  </si>
  <si>
    <t>ширина</t>
  </si>
  <si>
    <t>Размеры двери:</t>
  </si>
  <si>
    <t>Фурнитура:</t>
  </si>
  <si>
    <t>Уплотнитель нижней направляющей</t>
  </si>
  <si>
    <t>РЕЗУЛЬТАТ РАСЧЁТА</t>
  </si>
  <si>
    <t>ВВОД ИСХОДНЫХ ДАННЫХ ДЛЯ РАСЧЁТА</t>
  </si>
  <si>
    <r>
      <t>высота</t>
    </r>
    <r>
      <rPr>
        <sz val="8"/>
        <color theme="1"/>
        <rFont val="Calibri"/>
        <family val="2"/>
        <charset val="204"/>
        <scheme val="minor"/>
      </rPr>
      <t xml:space="preserve"> </t>
    </r>
    <r>
      <rPr>
        <u/>
        <sz val="8"/>
        <color theme="1"/>
        <rFont val="Calibri"/>
        <family val="2"/>
        <charset val="204"/>
        <scheme val="minor"/>
      </rPr>
      <t>общая</t>
    </r>
  </si>
  <si>
    <t xml:space="preserve">* по внутреннему проёму шкафа, зависит от наличия боковин и их толщины </t>
  </si>
  <si>
    <t>Направляющая верхняя CKRU0046</t>
  </si>
  <si>
    <t>Количество доводчиков общее</t>
  </si>
  <si>
    <t>Для расчёта размеров и количества комплектующих введите данные в таблицу</t>
  </si>
  <si>
    <t xml:space="preserve"> </t>
  </si>
  <si>
    <t>Ширина проёма, перекрываемого дверями</t>
  </si>
  <si>
    <t>Установка с видимой верхней направляющей</t>
  </si>
  <si>
    <t>Установка со скрытой верхней направляющей в корпус</t>
  </si>
  <si>
    <t>Установка со скрытой верхней направляющей в проём</t>
  </si>
  <si>
    <r>
      <t xml:space="preserve">Высота </t>
    </r>
    <r>
      <rPr>
        <u/>
        <sz val="14"/>
        <color theme="1"/>
        <rFont val="Calibri"/>
        <family val="2"/>
        <charset val="204"/>
        <scheme val="minor"/>
      </rPr>
      <t>внутреннего</t>
    </r>
    <r>
      <rPr>
        <sz val="14"/>
        <color theme="1"/>
        <rFont val="Calibri"/>
        <family val="2"/>
        <scheme val="minor"/>
      </rPr>
      <t xml:space="preserve"> проёма шкафа</t>
    </r>
  </si>
  <si>
    <t>Толщина деталей корпуса шкафа 16мм</t>
  </si>
  <si>
    <t>себестоим</t>
  </si>
  <si>
    <t>себестоим расчетная</t>
  </si>
  <si>
    <t>цена себ</t>
  </si>
  <si>
    <t>Цена с коэф 4,06</t>
  </si>
  <si>
    <t>оглавление</t>
  </si>
  <si>
    <t>Количество перекрытий (перекрытие 10мм)</t>
  </si>
  <si>
    <t>Количество средних рамок для одной двери</t>
  </si>
  <si>
    <t>Направляющая нижняя CKRU0504</t>
  </si>
  <si>
    <t>Позиционер верхний или нижний</t>
  </si>
  <si>
    <t>Шлегель с клеем 9*5мм (на боковые торцы двери)</t>
  </si>
  <si>
    <t>Шлегель без клея 5*6мм (в пазы на тыльные стороны дверей)</t>
  </si>
  <si>
    <t>АВ-75 Саморез сборочный 6*30мм (для средних разделительных рамок)</t>
  </si>
  <si>
    <t>АМ04 Прищепка для шлегеля 9*5мм</t>
  </si>
  <si>
    <r>
      <t>высота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u/>
        <sz val="11"/>
        <color theme="1"/>
        <rFont val="Calibri"/>
        <family val="2"/>
        <charset val="204"/>
        <scheme val="minor"/>
      </rPr>
      <t>общая</t>
    </r>
  </si>
  <si>
    <t>При необходимости - использовать соответствующие уплотнители</t>
  </si>
  <si>
    <t>РАСЧЁТ ДВЕРЕЙ ARISTO SlimLine</t>
  </si>
  <si>
    <t>SL Вертикальный профиль CKRU0650</t>
  </si>
  <si>
    <t>SL Рамка горизонтальная узкая (верх) CKRU0588</t>
  </si>
  <si>
    <t>SL Рамка горизонтальная широкая (низ) CKRU0589</t>
  </si>
  <si>
    <t>SL Комплект роликов Type V</t>
  </si>
  <si>
    <r>
      <rPr>
        <b/>
        <sz val="20"/>
        <color theme="1"/>
        <rFont val="Calibri"/>
        <family val="2"/>
        <charset val="204"/>
        <scheme val="minor"/>
      </rPr>
      <t xml:space="preserve">РАСЧЁТ ДВЕРЕЙ </t>
    </r>
    <r>
      <rPr>
        <b/>
        <sz val="20"/>
        <color theme="1"/>
        <rFont val="Candara"/>
        <family val="2"/>
        <charset val="204"/>
      </rPr>
      <t>ARISTO SlimLine</t>
    </r>
  </si>
  <si>
    <t>SL Рамка горизонтальная средняя CKRU0590</t>
  </si>
  <si>
    <t>Количество доводчиков общее, штук</t>
  </si>
  <si>
    <t>Доводчик, штук</t>
  </si>
  <si>
    <t>SL Кронштейн внутренний AFL-01 + внешний AFL-03**</t>
  </si>
  <si>
    <t>**по 2 шт. на дверь, внутренние AFL-01/внешние AFL-03 - по расположению дверей. При монтаже доводчика требуется дополнительный кронштейн (доводчик устанавливается на 2 кронштейна).</t>
  </si>
  <si>
    <t>Полотно двери без учёта уплотнителя (размеры для плиты толщиной 10мм):</t>
  </si>
  <si>
    <t>SL Рамка горизонтальная широкая (верх+низ двери) CKRU0589</t>
  </si>
  <si>
    <t>AB-53 Заглушка дверная самоклеящаяся</t>
  </si>
  <si>
    <t>Размеры двери с учётом шлегеля:</t>
  </si>
  <si>
    <t>Полотно двери - плита толщиной 8мм с уплотнителем:</t>
  </si>
  <si>
    <t>Полотно двери - стекло толщиной 4мм с уплотнителем:</t>
  </si>
</sst>
</file>

<file path=xl/styles.xml><?xml version="1.0" encoding="utf-8"?>
<styleSheet xmlns="http://schemas.openxmlformats.org/spreadsheetml/2006/main">
  <numFmts count="4">
    <numFmt numFmtId="164" formatCode="#,##0&quot; мм&quot;"/>
    <numFmt numFmtId="165" formatCode="#,##0&quot; м&quot;"/>
    <numFmt numFmtId="166" formatCode="#,##0&quot; мм*&quot;"/>
    <numFmt numFmtId="167" formatCode="0.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charset val="204"/>
      <scheme val="minor"/>
    </font>
    <font>
      <b/>
      <u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20"/>
      <color theme="1"/>
      <name val="Candara"/>
      <family val="2"/>
      <charset val="204"/>
    </font>
    <font>
      <sz val="8"/>
      <color theme="1"/>
      <name val="Calibri"/>
      <family val="2"/>
      <charset val="204"/>
      <scheme val="minor"/>
    </font>
    <font>
      <u/>
      <sz val="8"/>
      <color theme="1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b/>
      <sz val="20"/>
      <color theme="1"/>
      <name val="Calibri"/>
      <family val="2"/>
      <charset val="204"/>
      <scheme val="minor"/>
    </font>
    <font>
      <u/>
      <sz val="14"/>
      <color theme="1"/>
      <name val="Calibri"/>
      <family val="2"/>
      <charset val="204"/>
      <scheme val="minor"/>
    </font>
    <font>
      <sz val="14"/>
      <color rgb="FFFF0000"/>
      <name val="Calibri"/>
      <family val="2"/>
      <charset val="204"/>
      <scheme val="minor"/>
    </font>
    <font>
      <sz val="14"/>
      <color rgb="FFFF0000"/>
      <name val="Calibri"/>
      <family val="2"/>
      <scheme val="minor"/>
    </font>
    <font>
      <b/>
      <u/>
      <sz val="14"/>
      <color rgb="FFFF0000"/>
      <name val="Calibri"/>
      <family val="2"/>
      <charset val="204"/>
      <scheme val="minor"/>
    </font>
    <font>
      <sz val="14"/>
      <color theme="0" tint="-0.14999847407452621"/>
      <name val="Calibri"/>
      <family val="2"/>
      <scheme val="minor"/>
    </font>
    <font>
      <u/>
      <sz val="11"/>
      <color theme="10"/>
      <name val="Calibri"/>
      <family val="2"/>
      <charset val="204"/>
      <scheme val="minor"/>
    </font>
    <font>
      <b/>
      <u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17" fillId="0" borderId="0" applyNumberFormat="0" applyFill="0" applyBorder="0" applyAlignment="0" applyProtection="0"/>
  </cellStyleXfs>
  <cellXfs count="140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/>
    <xf numFmtId="0" fontId="3" fillId="0" borderId="11" xfId="0" applyFont="1" applyBorder="1" applyAlignment="1">
      <alignment vertical="center"/>
    </xf>
    <xf numFmtId="0" fontId="3" fillId="0" borderId="13" xfId="0" applyFont="1" applyBorder="1" applyAlignment="1">
      <alignment vertical="center"/>
    </xf>
    <xf numFmtId="0" fontId="3" fillId="0" borderId="15" xfId="0" applyFont="1" applyBorder="1" applyAlignment="1">
      <alignment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0" fillId="0" borderId="0" xfId="0" applyFill="1" applyBorder="1" applyAlignment="1">
      <alignment vertical="center" wrapText="1"/>
    </xf>
    <xf numFmtId="0" fontId="6" fillId="0" borderId="18" xfId="0" applyFont="1" applyFill="1" applyBorder="1" applyAlignment="1">
      <alignment horizontal="left" vertical="center"/>
    </xf>
    <xf numFmtId="0" fontId="5" fillId="2" borderId="10" xfId="0" applyFont="1" applyFill="1" applyBorder="1" applyAlignment="1">
      <alignment vertical="center"/>
    </xf>
    <xf numFmtId="0" fontId="3" fillId="0" borderId="0" xfId="0" applyFont="1" applyFill="1"/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/>
    <xf numFmtId="0" fontId="3" fillId="2" borderId="8" xfId="0" applyFont="1" applyFill="1" applyBorder="1" applyAlignment="1">
      <alignment horizontal="center" vertical="center"/>
    </xf>
    <xf numFmtId="0" fontId="3" fillId="0" borderId="0" xfId="0" applyFont="1" applyBorder="1"/>
    <xf numFmtId="0" fontId="4" fillId="0" borderId="0" xfId="0" applyFont="1" applyFill="1" applyBorder="1" applyAlignment="1">
      <alignment horizontal="center" vertical="center" wrapText="1"/>
    </xf>
    <xf numFmtId="3" fontId="4" fillId="0" borderId="0" xfId="0" applyNumberFormat="1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right" wrapText="1"/>
    </xf>
    <xf numFmtId="0" fontId="5" fillId="2" borderId="24" xfId="0" applyFont="1" applyFill="1" applyBorder="1" applyAlignment="1">
      <alignment horizontal="left" vertical="center"/>
    </xf>
    <xf numFmtId="0" fontId="5" fillId="2" borderId="25" xfId="0" applyFont="1" applyFill="1" applyBorder="1" applyAlignment="1">
      <alignment horizontal="left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7" xfId="0" applyFont="1" applyFill="1" applyBorder="1" applyAlignment="1">
      <alignment horizontal="left" vertical="center"/>
    </xf>
    <xf numFmtId="0" fontId="13" fillId="0" borderId="28" xfId="0" applyFont="1" applyFill="1" applyBorder="1" applyAlignment="1">
      <alignment horizontal="right" vertical="center"/>
    </xf>
    <xf numFmtId="0" fontId="13" fillId="0" borderId="29" xfId="0" applyFont="1" applyBorder="1" applyAlignment="1">
      <alignment horizontal="right" vertical="center"/>
    </xf>
    <xf numFmtId="0" fontId="13" fillId="0" borderId="30" xfId="0" applyFont="1" applyBorder="1" applyAlignment="1">
      <alignment horizontal="right" vertical="center"/>
    </xf>
    <xf numFmtId="0" fontId="14" fillId="0" borderId="29" xfId="0" applyFont="1" applyBorder="1" applyAlignment="1">
      <alignment horizontal="right" vertical="center"/>
    </xf>
    <xf numFmtId="167" fontId="13" fillId="0" borderId="28" xfId="0" applyNumberFormat="1" applyFont="1" applyFill="1" applyBorder="1" applyAlignment="1">
      <alignment horizontal="right" vertical="center"/>
    </xf>
    <xf numFmtId="1" fontId="13" fillId="0" borderId="29" xfId="0" applyNumberFormat="1" applyFont="1" applyBorder="1" applyAlignment="1">
      <alignment horizontal="right" vertical="center"/>
    </xf>
    <xf numFmtId="0" fontId="3" fillId="0" borderId="0" xfId="0" applyFont="1" applyAlignment="1">
      <alignment wrapText="1"/>
    </xf>
    <xf numFmtId="0" fontId="14" fillId="0" borderId="0" xfId="0" applyFont="1"/>
    <xf numFmtId="3" fontId="4" fillId="0" borderId="0" xfId="0" applyNumberFormat="1" applyFont="1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0" fontId="14" fillId="0" borderId="1" xfId="0" applyFont="1" applyBorder="1" applyAlignment="1">
      <alignment horizontal="right" vertical="center"/>
    </xf>
    <xf numFmtId="0" fontId="3" fillId="0" borderId="11" xfId="0" applyFont="1" applyFill="1" applyBorder="1" applyAlignment="1">
      <alignment vertical="center"/>
    </xf>
    <xf numFmtId="0" fontId="15" fillId="2" borderId="27" xfId="0" applyFont="1" applyFill="1" applyBorder="1" applyAlignment="1">
      <alignment horizontal="left" vertical="center"/>
    </xf>
    <xf numFmtId="0" fontId="13" fillId="0" borderId="29" xfId="0" applyFont="1" applyBorder="1" applyAlignment="1">
      <alignment vertical="center"/>
    </xf>
    <xf numFmtId="0" fontId="13" fillId="0" borderId="0" xfId="0" applyFont="1" applyBorder="1" applyAlignment="1">
      <alignment vertical="center"/>
    </xf>
    <xf numFmtId="0" fontId="13" fillId="0" borderId="1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5" fillId="2" borderId="27" xfId="0" applyFont="1" applyFill="1" applyBorder="1" applyAlignment="1">
      <alignment horizontal="center" vertical="center"/>
    </xf>
    <xf numFmtId="0" fontId="0" fillId="2" borderId="26" xfId="0" applyFill="1" applyBorder="1" applyAlignment="1">
      <alignment horizontal="left" vertical="center" wrapText="1"/>
    </xf>
    <xf numFmtId="0" fontId="13" fillId="0" borderId="0" xfId="0" applyFont="1" applyBorder="1" applyAlignment="1">
      <alignment horizontal="right" vertical="center"/>
    </xf>
    <xf numFmtId="0" fontId="15" fillId="2" borderId="5" xfId="0" applyFont="1" applyFill="1" applyBorder="1" applyAlignment="1">
      <alignment horizontal="right" vertical="center"/>
    </xf>
    <xf numFmtId="1" fontId="13" fillId="0" borderId="30" xfId="0" applyNumberFormat="1" applyFont="1" applyBorder="1" applyAlignment="1">
      <alignment horizontal="right" vertical="center"/>
    </xf>
    <xf numFmtId="0" fontId="3" fillId="0" borderId="11" xfId="0" applyFont="1" applyBorder="1" applyAlignment="1">
      <alignment vertical="center" wrapText="1"/>
    </xf>
    <xf numFmtId="164" fontId="4" fillId="0" borderId="0" xfId="0" applyNumberFormat="1" applyFont="1" applyFill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/>
      <protection locked="0"/>
    </xf>
    <xf numFmtId="0" fontId="16" fillId="0" borderId="0" xfId="0" applyFont="1" applyAlignment="1">
      <alignment vertical="center"/>
    </xf>
    <xf numFmtId="164" fontId="4" fillId="0" borderId="6" xfId="0" applyNumberFormat="1" applyFont="1" applyBorder="1" applyAlignment="1" applyProtection="1">
      <alignment horizontal="center" vertical="center"/>
    </xf>
    <xf numFmtId="164" fontId="4" fillId="0" borderId="9" xfId="0" applyNumberFormat="1" applyFont="1" applyBorder="1" applyAlignment="1" applyProtection="1">
      <alignment horizontal="center" vertical="center"/>
    </xf>
    <xf numFmtId="164" fontId="4" fillId="0" borderId="0" xfId="0" applyNumberFormat="1" applyFont="1" applyFill="1" applyBorder="1" applyAlignment="1" applyProtection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</xf>
    <xf numFmtId="0" fontId="4" fillId="0" borderId="19" xfId="0" applyFont="1" applyFill="1" applyBorder="1" applyAlignment="1" applyProtection="1">
      <alignment horizontal="center" vertical="center"/>
    </xf>
    <xf numFmtId="164" fontId="4" fillId="0" borderId="1" xfId="0" applyNumberFormat="1" applyFont="1" applyBorder="1" applyAlignment="1" applyProtection="1">
      <alignment horizontal="center" vertical="center"/>
    </xf>
    <xf numFmtId="0" fontId="4" fillId="0" borderId="12" xfId="0" applyFont="1" applyBorder="1" applyAlignment="1" applyProtection="1">
      <alignment horizontal="center" vertical="center"/>
    </xf>
    <xf numFmtId="164" fontId="4" fillId="0" borderId="8" xfId="0" applyNumberFormat="1" applyFont="1" applyBorder="1" applyAlignment="1" applyProtection="1">
      <alignment horizontal="center" vertical="center"/>
    </xf>
    <xf numFmtId="0" fontId="4" fillId="0" borderId="9" xfId="0" applyFont="1" applyBorder="1" applyAlignment="1" applyProtection="1">
      <alignment horizontal="center" vertical="center"/>
    </xf>
    <xf numFmtId="166" fontId="4" fillId="0" borderId="3" xfId="0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Alignment="1">
      <alignment horizontal="left"/>
    </xf>
    <xf numFmtId="0" fontId="10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3" fillId="0" borderId="1" xfId="0" applyFont="1" applyBorder="1" applyAlignment="1">
      <alignment vertical="center"/>
    </xf>
    <xf numFmtId="0" fontId="0" fillId="4" borderId="21" xfId="0" applyFill="1" applyBorder="1"/>
    <xf numFmtId="0" fontId="0" fillId="4" borderId="23" xfId="0" applyFill="1" applyBorder="1"/>
    <xf numFmtId="0" fontId="0" fillId="4" borderId="35" xfId="0" applyFill="1" applyBorder="1"/>
    <xf numFmtId="0" fontId="0" fillId="4" borderId="0" xfId="0" applyFill="1"/>
    <xf numFmtId="0" fontId="0" fillId="4" borderId="36" xfId="0" applyFill="1" applyBorder="1"/>
    <xf numFmtId="0" fontId="0" fillId="4" borderId="0" xfId="0" applyFill="1" applyBorder="1"/>
    <xf numFmtId="0" fontId="0" fillId="4" borderId="20" xfId="0" applyFill="1" applyBorder="1"/>
    <xf numFmtId="0" fontId="0" fillId="4" borderId="22" xfId="0" applyFill="1" applyBorder="1"/>
    <xf numFmtId="0" fontId="0" fillId="4" borderId="26" xfId="0" applyFill="1" applyBorder="1"/>
    <xf numFmtId="0" fontId="0" fillId="4" borderId="37" xfId="0" applyFill="1" applyBorder="1"/>
    <xf numFmtId="0" fontId="17" fillId="0" borderId="1" xfId="1" applyBorder="1" applyAlignment="1">
      <alignment horizontal="center" vertical="center"/>
    </xf>
    <xf numFmtId="0" fontId="14" fillId="0" borderId="30" xfId="0" applyFont="1" applyBorder="1" applyAlignment="1">
      <alignment horizontal="right" vertical="center"/>
    </xf>
    <xf numFmtId="167" fontId="13" fillId="0" borderId="25" xfId="0" applyNumberFormat="1" applyFont="1" applyFill="1" applyBorder="1" applyAlignment="1">
      <alignment horizontal="right" vertical="center"/>
    </xf>
    <xf numFmtId="0" fontId="3" fillId="0" borderId="0" xfId="0" applyFont="1" applyFill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3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4" fillId="0" borderId="0" xfId="0" applyFont="1" applyBorder="1" applyAlignment="1" applyProtection="1">
      <alignment horizontal="center" vertical="center"/>
      <protection locked="0"/>
    </xf>
    <xf numFmtId="0" fontId="10" fillId="0" borderId="0" xfId="0" applyFont="1" applyBorder="1" applyAlignment="1">
      <alignment vertical="center"/>
    </xf>
    <xf numFmtId="0" fontId="10" fillId="0" borderId="0" xfId="0" applyFont="1"/>
    <xf numFmtId="0" fontId="3" fillId="0" borderId="18" xfId="0" applyFont="1" applyBorder="1" applyAlignment="1">
      <alignment vertical="center"/>
    </xf>
    <xf numFmtId="0" fontId="14" fillId="0" borderId="3" xfId="0" applyFont="1" applyBorder="1" applyAlignment="1">
      <alignment horizontal="right" vertical="center"/>
    </xf>
    <xf numFmtId="0" fontId="14" fillId="0" borderId="28" xfId="0" applyFont="1" applyBorder="1" applyAlignment="1">
      <alignment horizontal="right" vertical="center"/>
    </xf>
    <xf numFmtId="167" fontId="13" fillId="0" borderId="29" xfId="0" applyNumberFormat="1" applyFont="1" applyFill="1" applyBorder="1" applyAlignment="1">
      <alignment horizontal="right" vertical="center"/>
    </xf>
    <xf numFmtId="0" fontId="7" fillId="2" borderId="0" xfId="0" applyFont="1" applyFill="1" applyAlignment="1">
      <alignment horizontal="center" vertical="center" wrapText="1"/>
    </xf>
    <xf numFmtId="165" fontId="4" fillId="0" borderId="1" xfId="0" applyNumberFormat="1" applyFont="1" applyBorder="1" applyAlignment="1" applyProtection="1">
      <alignment horizontal="center" vertical="center" wrapText="1"/>
    </xf>
    <xf numFmtId="165" fontId="0" fillId="0" borderId="12" xfId="0" applyNumberFormat="1" applyBorder="1" applyAlignment="1" applyProtection="1">
      <alignment horizontal="center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5" fillId="2" borderId="21" xfId="0" applyFont="1" applyFill="1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3" fontId="4" fillId="0" borderId="8" xfId="0" applyNumberFormat="1" applyFont="1" applyBorder="1" applyAlignment="1" applyProtection="1">
      <alignment horizontal="center" vertical="center" wrapText="1"/>
    </xf>
    <xf numFmtId="3" fontId="0" fillId="0" borderId="9" xfId="0" applyNumberFormat="1" applyBorder="1" applyAlignment="1" applyProtection="1">
      <alignment horizontal="center" vertical="center" wrapText="1"/>
    </xf>
    <xf numFmtId="3" fontId="4" fillId="0" borderId="1" xfId="0" applyNumberFormat="1" applyFont="1" applyBorder="1" applyAlignment="1" applyProtection="1">
      <alignment horizontal="center" vertical="center" wrapText="1"/>
    </xf>
    <xf numFmtId="3" fontId="0" fillId="0" borderId="12" xfId="0" applyNumberFormat="1" applyBorder="1" applyAlignment="1" applyProtection="1">
      <alignment horizontal="center" vertical="center" wrapText="1"/>
    </xf>
    <xf numFmtId="164" fontId="4" fillId="3" borderId="2" xfId="0" applyNumberFormat="1" applyFont="1" applyFill="1" applyBorder="1" applyAlignment="1" applyProtection="1">
      <alignment horizontal="center" vertical="center"/>
      <protection locked="0"/>
    </xf>
    <xf numFmtId="164" fontId="4" fillId="3" borderId="14" xfId="0" applyNumberFormat="1" applyFont="1" applyFill="1" applyBorder="1" applyAlignment="1" applyProtection="1">
      <alignment horizontal="center" vertical="center"/>
      <protection locked="0"/>
    </xf>
    <xf numFmtId="0" fontId="4" fillId="3" borderId="2" xfId="0" applyNumberFormat="1" applyFont="1" applyFill="1" applyBorder="1" applyAlignment="1" applyProtection="1">
      <alignment horizontal="center" vertical="center"/>
      <protection locked="0"/>
    </xf>
    <xf numFmtId="0" fontId="4" fillId="3" borderId="14" xfId="0" applyNumberFormat="1" applyFont="1" applyFill="1" applyBorder="1" applyAlignment="1" applyProtection="1">
      <alignment horizontal="center" vertical="center"/>
      <protection locked="0"/>
    </xf>
    <xf numFmtId="164" fontId="6" fillId="2" borderId="5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6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>
      <alignment horizontal="left" vertical="center"/>
    </xf>
    <xf numFmtId="0" fontId="5" fillId="2" borderId="7" xfId="0" applyFont="1" applyFill="1" applyBorder="1" applyAlignment="1">
      <alignment horizontal="left" vertical="center"/>
    </xf>
    <xf numFmtId="0" fontId="4" fillId="3" borderId="16" xfId="0" applyFont="1" applyFill="1" applyBorder="1" applyAlignment="1" applyProtection="1">
      <alignment horizontal="center" vertical="center"/>
      <protection locked="0"/>
    </xf>
    <xf numFmtId="0" fontId="4" fillId="3" borderId="17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3" borderId="14" xfId="0" applyFont="1" applyFill="1" applyBorder="1" applyAlignment="1" applyProtection="1">
      <alignment horizontal="center" vertical="center"/>
      <protection locked="0"/>
    </xf>
    <xf numFmtId="165" fontId="4" fillId="0" borderId="2" xfId="0" applyNumberFormat="1" applyFont="1" applyBorder="1" applyAlignment="1" applyProtection="1">
      <alignment horizontal="center" vertical="center" wrapText="1"/>
    </xf>
    <xf numFmtId="165" fontId="4" fillId="0" borderId="14" xfId="0" applyNumberFormat="1" applyFont="1" applyBorder="1" applyAlignment="1" applyProtection="1">
      <alignment horizontal="center" vertical="center" wrapText="1"/>
    </xf>
    <xf numFmtId="3" fontId="4" fillId="0" borderId="2" xfId="0" applyNumberFormat="1" applyFont="1" applyBorder="1" applyAlignment="1" applyProtection="1">
      <alignment horizontal="center" vertical="center" wrapText="1"/>
    </xf>
    <xf numFmtId="3" fontId="4" fillId="0" borderId="14" xfId="0" applyNumberFormat="1" applyFont="1" applyBorder="1" applyAlignment="1" applyProtection="1">
      <alignment horizontal="center" vertical="center" wrapText="1"/>
    </xf>
    <xf numFmtId="0" fontId="10" fillId="0" borderId="0" xfId="0" applyFont="1" applyBorder="1" applyAlignment="1">
      <alignment vertical="center" wrapText="1"/>
    </xf>
    <xf numFmtId="0" fontId="0" fillId="0" borderId="0" xfId="0" applyAlignment="1">
      <alignment wrapText="1"/>
    </xf>
    <xf numFmtId="3" fontId="4" fillId="0" borderId="38" xfId="0" applyNumberFormat="1" applyFont="1" applyBorder="1" applyAlignment="1" applyProtection="1">
      <alignment horizontal="center" vertical="center" wrapText="1"/>
    </xf>
    <xf numFmtId="3" fontId="4" fillId="0" borderId="39" xfId="0" applyNumberFormat="1" applyFont="1" applyBorder="1" applyAlignment="1" applyProtection="1">
      <alignment horizontal="center" vertical="center" wrapText="1"/>
    </xf>
    <xf numFmtId="165" fontId="4" fillId="0" borderId="8" xfId="0" applyNumberFormat="1" applyFont="1" applyBorder="1" applyAlignment="1" applyProtection="1">
      <alignment horizontal="center" vertical="center" wrapText="1"/>
    </xf>
    <xf numFmtId="165" fontId="0" fillId="0" borderId="9" xfId="0" applyNumberFormat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4" fillId="3" borderId="31" xfId="0" applyFont="1" applyFill="1" applyBorder="1" applyAlignment="1" applyProtection="1">
      <alignment horizontal="center" vertical="center"/>
      <protection locked="0"/>
    </xf>
    <xf numFmtId="0" fontId="4" fillId="3" borderId="32" xfId="0" applyFont="1" applyFill="1" applyBorder="1" applyAlignment="1" applyProtection="1">
      <alignment horizontal="center" vertical="center"/>
      <protection locked="0"/>
    </xf>
    <xf numFmtId="164" fontId="4" fillId="3" borderId="33" xfId="0" applyNumberFormat="1" applyFont="1" applyFill="1" applyBorder="1" applyAlignment="1" applyProtection="1">
      <alignment horizontal="center" vertical="center"/>
      <protection locked="0"/>
    </xf>
    <xf numFmtId="164" fontId="4" fillId="3" borderId="34" xfId="0" applyNumberFormat="1" applyFont="1" applyFill="1" applyBorder="1" applyAlignment="1" applyProtection="1">
      <alignment horizontal="center" vertical="center"/>
      <protection locked="0"/>
    </xf>
    <xf numFmtId="164" fontId="6" fillId="2" borderId="33" xfId="0" applyNumberFormat="1" applyFont="1" applyFill="1" applyBorder="1" applyAlignment="1" applyProtection="1">
      <alignment horizontal="center" vertical="center" wrapText="1"/>
      <protection locked="0"/>
    </xf>
    <xf numFmtId="164" fontId="6" fillId="2" borderId="34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22" xfId="0" applyFont="1" applyFill="1" applyBorder="1" applyAlignment="1">
      <alignment horizontal="left" vertical="center" wrapText="1"/>
    </xf>
    <xf numFmtId="0" fontId="4" fillId="3" borderId="2" xfId="0" applyNumberFormat="1" applyFont="1" applyFill="1" applyBorder="1" applyAlignment="1" applyProtection="1">
      <alignment horizontal="center" vertical="center"/>
    </xf>
    <xf numFmtId="0" fontId="4" fillId="3" borderId="14" xfId="0" applyNumberFormat="1" applyFont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&#1042;&#1080;&#1076;&#1080;&#1084;&#1099;&#1081; &#1074;&#1077;&#1088;&#1093;&#1085;&#1080;&#1081; &#1090;&#1088;&#1077;&#1082;'!B7"/><Relationship Id="rId2" Type="http://schemas.openxmlformats.org/officeDocument/2006/relationships/hyperlink" Target="#'&#1057;&#1082;&#1088;&#1099;&#1090;&#1099;&#1081; &#1074;&#1077;&#1088;&#1093;&#1085;&#1080;&#1081; &#1090;&#1088;&#1077;&#1082;, &#1082;&#1086;&#1088;&#1087;&#1091;&#1089;'!B7"/><Relationship Id="rId1" Type="http://schemas.openxmlformats.org/officeDocument/2006/relationships/hyperlink" Target="#'&#1057;&#1082;&#1088;&#1099;&#1090;&#1099;&#1081; &#1074;&#1077;&#1088;&#1093;&#1085;&#1080;&#1081; &#1090;&#1088;&#1077;&#1082;, &#1087;&#1088;&#1086;&#1077;&#1084;'!B7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396327</xdr:colOff>
      <xdr:row>10</xdr:row>
      <xdr:rowOff>157407</xdr:rowOff>
    </xdr:from>
    <xdr:ext cx="3042000" cy="342786"/>
    <xdr:sp macro="" textlink="">
      <xdr:nvSpPr>
        <xdr:cNvPr id="2" name="Прямоугольник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/>
      </xdr:nvSpPr>
      <xdr:spPr>
        <a:xfrm>
          <a:off x="1615527" y="206240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проем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404264</xdr:colOff>
      <xdr:row>8</xdr:row>
      <xdr:rowOff>142143</xdr:rowOff>
    </xdr:from>
    <xdr:ext cx="3042000" cy="342786"/>
    <xdr:sp macro="" textlink="">
      <xdr:nvSpPr>
        <xdr:cNvPr id="3" name="Прямоугольник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1623464" y="1666143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Скрытый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трек, корпус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oneCellAnchor>
    <xdr:from>
      <xdr:col>2</xdr:col>
      <xdr:colOff>404203</xdr:colOff>
      <xdr:row>6</xdr:row>
      <xdr:rowOff>126877</xdr:rowOff>
    </xdr:from>
    <xdr:ext cx="3042000" cy="342786"/>
    <xdr:sp macro="" textlink="">
      <xdr:nvSpPr>
        <xdr:cNvPr id="4" name="Прямоугольник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/>
      </xdr:nvSpPr>
      <xdr:spPr>
        <a:xfrm>
          <a:off x="1623403" y="1269877"/>
          <a:ext cx="3042000" cy="342786"/>
        </a:xfrm>
        <a:prstGeom prst="rect">
          <a:avLst/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wrap="square" lIns="91440" tIns="45720" rIns="91440" bIns="45720">
          <a:spAutoFit/>
        </a:bodyPr>
        <a:lstStyle/>
        <a:p>
          <a:pPr algn="ctr"/>
          <a:r>
            <a:rPr lang="ru-RU" sz="1600" b="0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Видимый</a:t>
          </a:r>
          <a:r>
            <a:rPr lang="ru-RU" sz="1600" b="0" cap="none" spc="0" baseline="0">
              <a:ln w="17780" cmpd="sng">
                <a:solidFill>
                  <a:srgbClr val="FFFFFF"/>
                </a:solidFill>
                <a:prstDash val="solid"/>
                <a:miter lim="800000"/>
              </a:ln>
              <a:solidFill>
                <a:srgbClr val="92D050"/>
              </a:solidFill>
              <a:effectLst>
                <a:outerShdw blurRad="50800" algn="tl" rotWithShape="0">
                  <a:srgbClr val="000000"/>
                </a:outerShdw>
              </a:effectLst>
            </a:rPr>
            <a:t> верхний трек</a:t>
          </a:r>
          <a:endParaRPr lang="ru-RU" sz="1600" b="0" cap="none" spc="0">
            <a:ln w="17780" cmpd="sng">
              <a:solidFill>
                <a:srgbClr val="FFFFFF"/>
              </a:solidFill>
              <a:prstDash val="solid"/>
              <a:miter lim="800000"/>
            </a:ln>
            <a:solidFill>
              <a:srgbClr val="92D050"/>
            </a:solidFill>
            <a:effectLst>
              <a:outerShdw blurRad="50800" algn="tl" rotWithShape="0">
                <a:srgbClr val="000000"/>
              </a:outerShdw>
            </a:effectLst>
          </a:endParaRPr>
        </a:p>
      </xdr:txBody>
    </xdr:sp>
    <xdr:clientData/>
  </xdr:oneCellAnchor>
  <xdr:twoCellAnchor editAs="oneCell">
    <xdr:from>
      <xdr:col>8</xdr:col>
      <xdr:colOff>376167</xdr:colOff>
      <xdr:row>0</xdr:row>
      <xdr:rowOff>51420</xdr:rowOff>
    </xdr:from>
    <xdr:to>
      <xdr:col>9</xdr:col>
      <xdr:colOff>545121</xdr:colOff>
      <xdr:row>2</xdr:row>
      <xdr:rowOff>139212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00567" y="51420"/>
          <a:ext cx="778554" cy="4687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2286055</xdr:colOff>
      <xdr:row>14</xdr:row>
      <xdr:rowOff>54429</xdr:rowOff>
    </xdr:from>
    <xdr:to>
      <xdr:col>0</xdr:col>
      <xdr:colOff>3915079</xdr:colOff>
      <xdr:row>36</xdr:row>
      <xdr:rowOff>2786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xmlns="" id="{F06D9B0E-453B-4E39-AABF-F4DBF0851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55" y="3660322"/>
          <a:ext cx="1629024" cy="536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1211035</xdr:colOff>
      <xdr:row>15</xdr:row>
      <xdr:rowOff>40836</xdr:rowOff>
    </xdr:from>
    <xdr:to>
      <xdr:col>1</xdr:col>
      <xdr:colOff>740142</xdr:colOff>
      <xdr:row>40</xdr:row>
      <xdr:rowOff>386173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xmlns="" id="{E0A9A71E-C032-4681-B3A0-3F3C87AF47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1035" y="3891657"/>
          <a:ext cx="5040000" cy="6999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1469571</xdr:colOff>
      <xdr:row>14</xdr:row>
      <xdr:rowOff>81654</xdr:rowOff>
    </xdr:from>
    <xdr:to>
      <xdr:col>1</xdr:col>
      <xdr:colOff>242678</xdr:colOff>
      <xdr:row>39</xdr:row>
      <xdr:rowOff>129301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xmlns="" id="{C7EC580A-0AAE-4697-89E1-B9277F2B35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69571" y="4667261"/>
          <a:ext cx="4284000" cy="6388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19"/>
  <sheetViews>
    <sheetView workbookViewId="0"/>
  </sheetViews>
  <sheetFormatPr defaultRowHeight="15"/>
  <sheetData>
    <row r="1" spans="1:11">
      <c r="A1" s="72"/>
      <c r="B1" s="73"/>
      <c r="C1" s="73"/>
      <c r="D1" s="73"/>
      <c r="E1" s="73"/>
      <c r="F1" s="73"/>
      <c r="G1" s="73"/>
      <c r="H1" s="73"/>
      <c r="I1" s="73"/>
      <c r="J1" s="74"/>
      <c r="K1" s="75"/>
    </row>
    <row r="2" spans="1:11">
      <c r="A2" s="76"/>
      <c r="B2" s="77"/>
      <c r="C2" s="77"/>
      <c r="D2" s="77"/>
      <c r="E2" s="77"/>
      <c r="F2" s="77"/>
      <c r="G2" s="77"/>
      <c r="H2" s="77"/>
      <c r="I2" s="77"/>
      <c r="J2" s="78"/>
      <c r="K2" s="75"/>
    </row>
    <row r="3" spans="1:11">
      <c r="A3" s="76"/>
      <c r="B3" s="77"/>
      <c r="C3" s="77"/>
      <c r="D3" s="77"/>
      <c r="E3" s="77"/>
      <c r="F3" s="77"/>
      <c r="G3" s="77"/>
      <c r="H3" s="77"/>
      <c r="I3" s="77"/>
      <c r="J3" s="78"/>
      <c r="K3" s="75"/>
    </row>
    <row r="4" spans="1:11">
      <c r="A4" s="76"/>
      <c r="B4" s="77"/>
      <c r="C4" s="77"/>
      <c r="D4" s="77"/>
      <c r="E4" s="77"/>
      <c r="F4" s="77"/>
      <c r="G4" s="77"/>
      <c r="H4" s="77"/>
      <c r="I4" s="77"/>
      <c r="J4" s="78"/>
      <c r="K4" s="75"/>
    </row>
    <row r="5" spans="1:11">
      <c r="A5" s="76"/>
      <c r="B5" s="77"/>
      <c r="C5" s="77"/>
      <c r="D5" s="77"/>
      <c r="E5" s="77"/>
      <c r="F5" s="77"/>
      <c r="G5" s="77"/>
      <c r="H5" s="77"/>
      <c r="I5" s="77"/>
      <c r="J5" s="78"/>
      <c r="K5" s="75"/>
    </row>
    <row r="6" spans="1:11">
      <c r="A6" s="76"/>
      <c r="B6" s="77"/>
      <c r="C6" s="77"/>
      <c r="D6" s="77"/>
      <c r="E6" s="77"/>
      <c r="F6" s="77"/>
      <c r="G6" s="77"/>
      <c r="H6" s="77"/>
      <c r="I6" s="77"/>
      <c r="J6" s="78"/>
      <c r="K6" s="75"/>
    </row>
    <row r="7" spans="1:11">
      <c r="A7" s="76"/>
      <c r="B7" s="77"/>
      <c r="C7" s="77"/>
      <c r="D7" s="77"/>
      <c r="E7" s="77"/>
      <c r="F7" s="77"/>
      <c r="G7" s="77"/>
      <c r="H7" s="77"/>
      <c r="I7" s="77"/>
      <c r="J7" s="78"/>
      <c r="K7" s="75"/>
    </row>
    <row r="8" spans="1:11">
      <c r="A8" s="76"/>
      <c r="B8" s="77"/>
      <c r="C8" s="77"/>
      <c r="D8" s="77"/>
      <c r="E8" s="77"/>
      <c r="F8" s="77"/>
      <c r="G8" s="77"/>
      <c r="H8" s="77"/>
      <c r="I8" s="77"/>
      <c r="J8" s="78"/>
      <c r="K8" s="75"/>
    </row>
    <row r="9" spans="1:11">
      <c r="A9" s="76"/>
      <c r="B9" s="77"/>
      <c r="C9" s="77"/>
      <c r="D9" s="77"/>
      <c r="E9" s="77"/>
      <c r="F9" s="77"/>
      <c r="G9" s="77"/>
      <c r="H9" s="77"/>
      <c r="I9" s="77"/>
      <c r="J9" s="78"/>
      <c r="K9" s="75"/>
    </row>
    <row r="10" spans="1:11">
      <c r="A10" s="76"/>
      <c r="B10" s="77"/>
      <c r="C10" s="77"/>
      <c r="D10" s="77"/>
      <c r="E10" s="77"/>
      <c r="F10" s="77"/>
      <c r="G10" s="77"/>
      <c r="H10" s="77"/>
      <c r="I10" s="77"/>
      <c r="J10" s="78"/>
      <c r="K10" s="75"/>
    </row>
    <row r="11" spans="1:11">
      <c r="A11" s="76"/>
      <c r="B11" s="77"/>
      <c r="C11" s="77"/>
      <c r="D11" s="77"/>
      <c r="E11" s="77"/>
      <c r="F11" s="77"/>
      <c r="G11" s="77"/>
      <c r="H11" s="77"/>
      <c r="I11" s="77"/>
      <c r="J11" s="78"/>
      <c r="K11" s="75"/>
    </row>
    <row r="12" spans="1:11">
      <c r="A12" s="76"/>
      <c r="B12" s="77"/>
      <c r="C12" s="77"/>
      <c r="D12" s="77"/>
      <c r="E12" s="77"/>
      <c r="F12" s="77"/>
      <c r="G12" s="77"/>
      <c r="H12" s="77"/>
      <c r="I12" s="77"/>
      <c r="J12" s="78"/>
      <c r="K12" s="75"/>
    </row>
    <row r="13" spans="1:11">
      <c r="A13" s="76"/>
      <c r="B13" s="77"/>
      <c r="C13" s="77"/>
      <c r="D13" s="77"/>
      <c r="E13" s="77"/>
      <c r="F13" s="77"/>
      <c r="G13" s="77"/>
      <c r="H13" s="77"/>
      <c r="I13" s="77"/>
      <c r="J13" s="78"/>
      <c r="K13" s="75"/>
    </row>
    <row r="14" spans="1:11">
      <c r="A14" s="76"/>
      <c r="B14" s="77"/>
      <c r="C14" s="77"/>
      <c r="D14" s="77"/>
      <c r="E14" s="77"/>
      <c r="F14" s="77"/>
      <c r="G14" s="77"/>
      <c r="H14" s="77"/>
      <c r="I14" s="77"/>
      <c r="J14" s="78"/>
      <c r="K14" s="75"/>
    </row>
    <row r="15" spans="1:11">
      <c r="A15" s="76"/>
      <c r="B15" s="77"/>
      <c r="C15" s="77"/>
      <c r="D15" s="77"/>
      <c r="E15" s="77"/>
      <c r="F15" s="77"/>
      <c r="G15" s="77"/>
      <c r="H15" s="77"/>
      <c r="I15" s="77"/>
      <c r="J15" s="78"/>
      <c r="K15" s="75"/>
    </row>
    <row r="16" spans="1:11" ht="15.75" thickBot="1">
      <c r="A16" s="79"/>
      <c r="B16" s="80"/>
      <c r="C16" s="80"/>
      <c r="D16" s="80"/>
      <c r="E16" s="80"/>
      <c r="F16" s="80"/>
      <c r="G16" s="80"/>
      <c r="H16" s="80"/>
      <c r="I16" s="80"/>
      <c r="J16" s="81"/>
      <c r="K16" s="75"/>
    </row>
    <row r="17" spans="1:11">
      <c r="A17" s="75"/>
      <c r="B17" s="75"/>
      <c r="C17" s="75"/>
      <c r="D17" s="75"/>
      <c r="E17" s="75"/>
      <c r="F17" s="75"/>
      <c r="G17" s="75"/>
      <c r="H17" s="75"/>
      <c r="I17" s="75"/>
      <c r="J17" s="75"/>
      <c r="K17" s="75"/>
    </row>
    <row r="18" spans="1:11">
      <c r="A18" s="75"/>
      <c r="B18" s="75"/>
      <c r="C18" s="75"/>
      <c r="D18" s="75"/>
      <c r="E18" s="75"/>
      <c r="F18" s="75"/>
      <c r="G18" s="75"/>
      <c r="H18" s="75"/>
      <c r="I18" s="75"/>
      <c r="J18" s="75"/>
      <c r="K18" s="75"/>
    </row>
    <row r="19" spans="1:11">
      <c r="A19" s="75"/>
      <c r="B19" s="75"/>
      <c r="C19" s="75"/>
      <c r="D19" s="75"/>
      <c r="E19" s="75"/>
      <c r="F19" s="75"/>
      <c r="G19" s="75"/>
      <c r="H19" s="75"/>
      <c r="I19" s="75"/>
      <c r="J19" s="75"/>
      <c r="K19" s="75"/>
    </row>
  </sheetData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38"/>
  <sheetViews>
    <sheetView zoomScale="70" zoomScaleNormal="70" workbookViewId="0">
      <selection activeCell="E12" sqref="E12:J17"/>
    </sheetView>
  </sheetViews>
  <sheetFormatPr defaultColWidth="9.140625" defaultRowHeight="18.75"/>
  <cols>
    <col min="1" max="1" width="82.710937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6" width="12.85546875" style="4" hidden="1" customWidth="1"/>
    <col min="7" max="7" width="12.5703125" style="4" hidden="1" customWidth="1"/>
    <col min="8" max="8" width="12.42578125" style="4" hidden="1" customWidth="1"/>
    <col min="9" max="9" width="16.7109375" style="4" customWidth="1"/>
    <col min="10" max="10" width="13.42578125" style="4" customWidth="1"/>
    <col min="11" max="11" width="4.28515625" style="4" customWidth="1"/>
    <col min="12" max="16384" width="9.140625" style="4"/>
  </cols>
  <sheetData>
    <row r="1" spans="1:11">
      <c r="A1" s="66"/>
    </row>
    <row r="2" spans="1:11" s="1" customFormat="1" ht="27.6" customHeight="1">
      <c r="A2" s="96" t="s">
        <v>40</v>
      </c>
      <c r="B2" s="96"/>
      <c r="C2" s="96"/>
      <c r="D2" s="96"/>
      <c r="E2" s="96"/>
      <c r="F2" s="96"/>
      <c r="G2" s="96"/>
      <c r="H2" s="96"/>
      <c r="I2" s="96"/>
      <c r="J2" s="96"/>
    </row>
    <row r="3" spans="1:11" s="13" customFormat="1" ht="26.1" customHeight="1">
      <c r="A3" s="99" t="s">
        <v>20</v>
      </c>
      <c r="B3" s="99"/>
      <c r="C3" s="99"/>
      <c r="D3" s="100"/>
      <c r="E3" s="100"/>
      <c r="F3" s="100"/>
      <c r="G3" s="100"/>
      <c r="H3" s="100"/>
      <c r="I3" s="100"/>
      <c r="J3" s="100"/>
    </row>
    <row r="4" spans="1:11" s="13" customFormat="1" ht="20.100000000000001" customHeight="1">
      <c r="A4" s="14"/>
      <c r="B4" s="14"/>
      <c r="C4" s="14"/>
      <c r="E4" s="17"/>
      <c r="F4" s="17"/>
      <c r="G4" s="17"/>
      <c r="H4" s="17"/>
      <c r="I4" s="17"/>
      <c r="J4" s="17"/>
    </row>
    <row r="5" spans="1:11" s="13" customFormat="1" ht="20.100000000000001" customHeight="1">
      <c r="A5" s="101" t="s">
        <v>12</v>
      </c>
      <c r="B5" s="101"/>
      <c r="C5" s="101"/>
      <c r="E5" s="101" t="s">
        <v>11</v>
      </c>
      <c r="F5" s="101"/>
      <c r="G5" s="101"/>
      <c r="H5" s="101"/>
      <c r="I5" s="101"/>
      <c r="J5" s="101"/>
    </row>
    <row r="6" spans="1:11" s="1" customFormat="1" ht="20.100000000000001" customHeight="1" thickBot="1">
      <c r="A6" s="22"/>
      <c r="B6" s="22"/>
      <c r="C6" s="22"/>
      <c r="D6" s="13"/>
      <c r="E6" s="22"/>
      <c r="F6" s="22"/>
      <c r="G6" s="22"/>
      <c r="H6" s="22"/>
      <c r="I6" s="22"/>
      <c r="J6" s="22"/>
    </row>
    <row r="7" spans="1:11" s="1" customFormat="1" ht="20.100000000000001" customHeight="1">
      <c r="A7" s="5" t="s">
        <v>0</v>
      </c>
      <c r="B7" s="108">
        <v>2000</v>
      </c>
      <c r="C7" s="109"/>
      <c r="E7" s="114" t="s">
        <v>54</v>
      </c>
      <c r="F7" s="25"/>
      <c r="G7" s="25"/>
      <c r="H7" s="25"/>
      <c r="I7" s="8" t="s">
        <v>6</v>
      </c>
      <c r="J7" s="56">
        <f>B7-45</f>
        <v>1955</v>
      </c>
    </row>
    <row r="8" spans="1:11" s="1" customFormat="1" ht="20.100000000000001" customHeight="1" thickBot="1">
      <c r="A8" s="5" t="s">
        <v>19</v>
      </c>
      <c r="B8" s="108">
        <v>2000</v>
      </c>
      <c r="C8" s="109"/>
      <c r="E8" s="115"/>
      <c r="F8" s="26"/>
      <c r="G8" s="26"/>
      <c r="H8" s="26"/>
      <c r="I8" s="20" t="s">
        <v>7</v>
      </c>
      <c r="J8" s="57">
        <f>(B8-10+B10*10)/B9</f>
        <v>1000</v>
      </c>
    </row>
    <row r="9" spans="1:11" s="1" customFormat="1" ht="20.100000000000001" customHeight="1" thickBot="1">
      <c r="A9" s="5" t="s">
        <v>1</v>
      </c>
      <c r="B9" s="110">
        <v>2</v>
      </c>
      <c r="C9" s="111"/>
      <c r="E9" s="11"/>
      <c r="F9" s="11"/>
      <c r="G9" s="11"/>
      <c r="H9" s="11"/>
      <c r="I9" s="18"/>
      <c r="J9" s="52"/>
    </row>
    <row r="10" spans="1:11" s="1" customFormat="1" ht="20.100000000000001" customHeight="1">
      <c r="A10" s="5" t="s">
        <v>30</v>
      </c>
      <c r="B10" s="110">
        <f>B9-1</f>
        <v>1</v>
      </c>
      <c r="C10" s="111"/>
      <c r="E10" s="102" t="s">
        <v>51</v>
      </c>
      <c r="F10" s="27"/>
      <c r="G10" s="27"/>
      <c r="H10" s="27"/>
      <c r="I10" s="24" t="s">
        <v>38</v>
      </c>
      <c r="J10" s="56">
        <f>J7-1.3*B12-1.3*2</f>
        <v>1949.8000000000002</v>
      </c>
      <c r="K10" s="3"/>
    </row>
    <row r="11" spans="1:11" s="1" customFormat="1" ht="20.100000000000001" customHeight="1" thickBot="1">
      <c r="A11" s="7" t="s">
        <v>47</v>
      </c>
      <c r="B11" s="116">
        <v>2</v>
      </c>
      <c r="C11" s="117"/>
      <c r="E11" s="103"/>
      <c r="F11" s="47"/>
      <c r="G11" s="47"/>
      <c r="H11" s="47"/>
      <c r="I11" s="20" t="s">
        <v>7</v>
      </c>
      <c r="J11" s="57">
        <f>J8-1.6*2</f>
        <v>996.8</v>
      </c>
    </row>
    <row r="12" spans="1:11" s="1" customFormat="1" ht="20.100000000000001" customHeight="1" thickBot="1">
      <c r="A12" s="40" t="s">
        <v>31</v>
      </c>
      <c r="B12" s="118">
        <v>2</v>
      </c>
      <c r="C12" s="119"/>
      <c r="E12" s="11"/>
      <c r="F12" s="11"/>
      <c r="G12" s="11"/>
      <c r="H12" s="11"/>
      <c r="I12" s="18"/>
      <c r="J12" s="52"/>
    </row>
    <row r="13" spans="1:11" s="1" customFormat="1" ht="20.100000000000001" customHeight="1">
      <c r="C13" s="55"/>
      <c r="E13" s="102" t="s">
        <v>55</v>
      </c>
      <c r="F13" s="27"/>
      <c r="G13" s="27"/>
      <c r="H13" s="27"/>
      <c r="I13" s="24" t="s">
        <v>38</v>
      </c>
      <c r="J13" s="56">
        <f>J10-2-B12*2</f>
        <v>1943.8000000000002</v>
      </c>
    </row>
    <row r="14" spans="1:11" s="1" customFormat="1" ht="20.100000000000001" customHeight="1" thickBot="1">
      <c r="A14" s="1" t="s">
        <v>17</v>
      </c>
      <c r="E14" s="103"/>
      <c r="F14" s="47"/>
      <c r="G14" s="47"/>
      <c r="H14" s="47"/>
      <c r="I14" s="20" t="s">
        <v>7</v>
      </c>
      <c r="J14" s="57">
        <f>J11-2</f>
        <v>994.8</v>
      </c>
    </row>
    <row r="15" spans="1:11" s="1" customFormat="1" ht="20.100000000000001" customHeight="1" thickBot="1">
      <c r="E15" s="11"/>
      <c r="F15" s="11"/>
      <c r="G15" s="11"/>
      <c r="H15" s="11"/>
      <c r="I15" s="18"/>
      <c r="J15" s="52"/>
    </row>
    <row r="16" spans="1:11" s="1" customFormat="1" ht="20.100000000000001" customHeight="1">
      <c r="E16" s="102" t="s">
        <v>56</v>
      </c>
      <c r="F16" s="27"/>
      <c r="G16" s="27"/>
      <c r="H16" s="27"/>
      <c r="I16" s="24" t="s">
        <v>38</v>
      </c>
      <c r="J16" s="56">
        <f>J10-3-B12*3</f>
        <v>1940.8000000000002</v>
      </c>
    </row>
    <row r="17" spans="1:11" s="1" customFormat="1" ht="20.100000000000001" customHeight="1" thickBot="1">
      <c r="E17" s="103"/>
      <c r="F17" s="47"/>
      <c r="G17" s="47"/>
      <c r="H17" s="47"/>
      <c r="I17" s="20" t="s">
        <v>7</v>
      </c>
      <c r="J17" s="57">
        <f>J11-3</f>
        <v>993.8</v>
      </c>
    </row>
    <row r="18" spans="1:11" s="1" customFormat="1" ht="20.100000000000001" customHeight="1" thickBot="1">
      <c r="E18" s="11"/>
      <c r="F18" s="11"/>
      <c r="G18" s="11"/>
      <c r="H18" s="11"/>
      <c r="I18" s="12"/>
      <c r="J18" s="23"/>
    </row>
    <row r="19" spans="1:11" s="1" customFormat="1" ht="20.100000000000001" customHeight="1">
      <c r="A19" s="1" t="s">
        <v>18</v>
      </c>
      <c r="E19" s="10" t="s">
        <v>3</v>
      </c>
      <c r="F19" s="41" t="s">
        <v>27</v>
      </c>
      <c r="G19" s="41" t="s">
        <v>26</v>
      </c>
      <c r="H19" s="46" t="s">
        <v>28</v>
      </c>
      <c r="I19" s="8" t="s">
        <v>4</v>
      </c>
      <c r="J19" s="9" t="s">
        <v>5</v>
      </c>
    </row>
    <row r="20" spans="1:11" s="1" customFormat="1" ht="20.100000000000001" customHeight="1">
      <c r="E20" s="15" t="s">
        <v>15</v>
      </c>
      <c r="F20" s="29">
        <v>1352</v>
      </c>
      <c r="G20" s="33">
        <f>F20/5400*((I20*5/100)+I20)*J20</f>
        <v>525.25199999999995</v>
      </c>
      <c r="H20" s="33">
        <f>G20*4.06</f>
        <v>2132.5231199999994</v>
      </c>
      <c r="I20" s="59">
        <f>B8-2</f>
        <v>1998</v>
      </c>
      <c r="J20" s="60">
        <v>1</v>
      </c>
    </row>
    <row r="21" spans="1:11" s="1" customFormat="1" ht="20.100000000000001" customHeight="1">
      <c r="E21" s="15" t="s">
        <v>32</v>
      </c>
      <c r="F21" s="29">
        <v>636.4</v>
      </c>
      <c r="G21" s="33">
        <f>F21/5400*((I21*5/100)+I21)*J21</f>
        <v>247.2414</v>
      </c>
      <c r="H21" s="33">
        <f>G21*4.06</f>
        <v>1003.8000839999999</v>
      </c>
      <c r="I21" s="59">
        <f>B8-2</f>
        <v>1998</v>
      </c>
      <c r="J21" s="60">
        <v>1</v>
      </c>
    </row>
    <row r="22" spans="1:11" s="1" customFormat="1" ht="20.100000000000001" customHeight="1">
      <c r="E22" s="5" t="s">
        <v>41</v>
      </c>
      <c r="F22" s="30">
        <v>357.5</v>
      </c>
      <c r="G22" s="30">
        <f>F22*J22</f>
        <v>1430</v>
      </c>
      <c r="H22" s="33">
        <f>G22*4.06</f>
        <v>5805.7999999999993</v>
      </c>
      <c r="I22" s="61">
        <f>J7</f>
        <v>1955</v>
      </c>
      <c r="J22" s="62">
        <f>B9*2</f>
        <v>4</v>
      </c>
    </row>
    <row r="23" spans="1:11" s="1" customFormat="1" ht="20.100000000000001" customHeight="1">
      <c r="E23" s="5" t="s">
        <v>42</v>
      </c>
      <c r="F23" s="30">
        <v>165</v>
      </c>
      <c r="G23" s="34">
        <f>(I23*J23/5400)*F23</f>
        <v>59.925555555555555</v>
      </c>
      <c r="H23" s="33">
        <f>G23*4.06</f>
        <v>243.29775555555554</v>
      </c>
      <c r="I23" s="61">
        <f>J8-2*9.7</f>
        <v>980.6</v>
      </c>
      <c r="J23" s="62">
        <f>B9</f>
        <v>2</v>
      </c>
    </row>
    <row r="24" spans="1:11" s="1" customFormat="1" ht="20.100000000000001" customHeight="1">
      <c r="E24" s="5" t="s">
        <v>43</v>
      </c>
      <c r="F24" s="71"/>
      <c r="G24" s="71"/>
      <c r="H24" s="71"/>
      <c r="I24" s="61">
        <f>I23</f>
        <v>980.6</v>
      </c>
      <c r="J24" s="62">
        <f>B9</f>
        <v>2</v>
      </c>
    </row>
    <row r="25" spans="1:11" s="1" customFormat="1" ht="20.100000000000001" customHeight="1">
      <c r="E25" s="5" t="s">
        <v>46</v>
      </c>
      <c r="F25" s="71"/>
      <c r="G25" s="71"/>
      <c r="H25" s="71"/>
      <c r="I25" s="61">
        <f>I23</f>
        <v>980.6</v>
      </c>
      <c r="J25" s="62">
        <f>B9*B12</f>
        <v>4</v>
      </c>
    </row>
    <row r="26" spans="1:11" s="1" customFormat="1" ht="20.100000000000001" customHeight="1" thickBot="1">
      <c r="E26" s="3"/>
      <c r="F26" s="3"/>
      <c r="G26" s="3"/>
      <c r="H26" s="3"/>
      <c r="I26" s="53"/>
      <c r="J26" s="54"/>
    </row>
    <row r="27" spans="1:11" s="1" customFormat="1" ht="20.100000000000001" customHeight="1">
      <c r="E27" s="16" t="s">
        <v>9</v>
      </c>
      <c r="F27" s="41" t="s">
        <v>25</v>
      </c>
      <c r="G27" s="41" t="s">
        <v>26</v>
      </c>
      <c r="H27" s="28"/>
      <c r="I27" s="112" t="s">
        <v>5</v>
      </c>
      <c r="J27" s="113"/>
    </row>
    <row r="28" spans="1:11" s="1" customFormat="1" ht="20.100000000000001" customHeight="1">
      <c r="E28" s="5" t="s">
        <v>44</v>
      </c>
      <c r="F28" s="32">
        <v>216</v>
      </c>
      <c r="G28" s="32">
        <f t="shared" ref="G28:G33" si="0">F28*I28</f>
        <v>432</v>
      </c>
      <c r="H28" s="33">
        <f t="shared" ref="H28:H35" si="1">G28*4.06</f>
        <v>1753.9199999999998</v>
      </c>
      <c r="I28" s="106">
        <f>B9</f>
        <v>2</v>
      </c>
      <c r="J28" s="107"/>
    </row>
    <row r="29" spans="1:11" s="1" customFormat="1" ht="20.100000000000001" customHeight="1">
      <c r="E29" s="5" t="s">
        <v>48</v>
      </c>
      <c r="F29" s="32">
        <v>528</v>
      </c>
      <c r="G29" s="32">
        <f t="shared" si="0"/>
        <v>1056</v>
      </c>
      <c r="H29" s="33">
        <f t="shared" si="1"/>
        <v>4287.3599999999997</v>
      </c>
      <c r="I29" s="106">
        <f>B11</f>
        <v>2</v>
      </c>
      <c r="J29" s="107"/>
    </row>
    <row r="30" spans="1:11" s="1" customFormat="1" ht="20.100000000000001" customHeight="1">
      <c r="E30" s="5" t="s">
        <v>33</v>
      </c>
      <c r="F30" s="32">
        <v>32.92</v>
      </c>
      <c r="G30" s="32">
        <f t="shared" si="0"/>
        <v>65.84</v>
      </c>
      <c r="H30" s="33">
        <f t="shared" si="1"/>
        <v>267.31040000000002</v>
      </c>
      <c r="I30" s="106">
        <f>B9*2-B11</f>
        <v>2</v>
      </c>
      <c r="J30" s="107"/>
    </row>
    <row r="31" spans="1:11" ht="20.100000000000001" customHeight="1">
      <c r="A31" s="1"/>
      <c r="B31" s="1"/>
      <c r="C31" s="1"/>
      <c r="D31" s="1"/>
      <c r="E31" s="51" t="s">
        <v>34</v>
      </c>
      <c r="F31" s="32">
        <v>22</v>
      </c>
      <c r="G31" s="32">
        <f t="shared" si="0"/>
        <v>176</v>
      </c>
      <c r="H31" s="33">
        <f>G31*4.06</f>
        <v>714.56</v>
      </c>
      <c r="I31" s="120">
        <f>CEILING(J22*J7/1000,1)</f>
        <v>8</v>
      </c>
      <c r="J31" s="121"/>
      <c r="K31" s="21"/>
    </row>
    <row r="32" spans="1:11" ht="20.100000000000001" customHeight="1">
      <c r="A32" s="1"/>
      <c r="B32" s="1"/>
      <c r="C32" s="1"/>
      <c r="D32" s="1"/>
      <c r="E32" s="5" t="s">
        <v>37</v>
      </c>
      <c r="F32" s="39">
        <v>0.31</v>
      </c>
      <c r="G32" s="32">
        <f t="shared" si="0"/>
        <v>2.48</v>
      </c>
      <c r="H32" s="33">
        <f>G32*4.06</f>
        <v>10.0688</v>
      </c>
      <c r="I32" s="122">
        <f>J22*2</f>
        <v>8</v>
      </c>
      <c r="J32" s="123"/>
    </row>
    <row r="33" spans="1:10" ht="21" customHeight="1">
      <c r="A33" s="1"/>
      <c r="B33" s="1"/>
      <c r="C33" s="1"/>
      <c r="D33" s="1"/>
      <c r="E33" s="5" t="s">
        <v>35</v>
      </c>
      <c r="F33" s="32">
        <v>6.56</v>
      </c>
      <c r="G33" s="32">
        <f t="shared" si="0"/>
        <v>26.24</v>
      </c>
      <c r="H33" s="33">
        <f t="shared" si="1"/>
        <v>106.53439999999998</v>
      </c>
      <c r="I33" s="97">
        <f>CEILING((J22-2)*J7/1000,1)</f>
        <v>4</v>
      </c>
      <c r="J33" s="98"/>
    </row>
    <row r="34" spans="1:10" ht="20.100000000000001" customHeight="1">
      <c r="A34" s="19"/>
      <c r="B34" s="19"/>
      <c r="C34" s="4"/>
      <c r="D34" s="1"/>
      <c r="E34" s="5" t="s">
        <v>10</v>
      </c>
      <c r="F34" s="32">
        <v>9.0500000000000007</v>
      </c>
      <c r="G34" s="32">
        <f t="shared" ref="G34:G35" si="2">F34*I34</f>
        <v>36.200000000000003</v>
      </c>
      <c r="H34" s="33">
        <f t="shared" si="1"/>
        <v>146.97200000000001</v>
      </c>
      <c r="I34" s="97">
        <f>CEILING(I21*2/1000,1)</f>
        <v>4</v>
      </c>
      <c r="J34" s="98"/>
    </row>
    <row r="35" spans="1:10" ht="20.100000000000001" customHeight="1" thickBot="1">
      <c r="D35" s="1"/>
      <c r="E35" s="6" t="s">
        <v>36</v>
      </c>
      <c r="F35" s="83">
        <v>0.8</v>
      </c>
      <c r="G35" s="83">
        <f t="shared" si="2"/>
        <v>6.4</v>
      </c>
      <c r="H35" s="84">
        <f t="shared" si="1"/>
        <v>25.983999999999998</v>
      </c>
      <c r="I35" s="104">
        <f>J25*2</f>
        <v>8</v>
      </c>
      <c r="J35" s="105"/>
    </row>
    <row r="36" spans="1:10" ht="20.100000000000001" customHeight="1">
      <c r="D36" s="1"/>
    </row>
    <row r="37" spans="1:10" ht="20.100000000000001" customHeight="1">
      <c r="D37" s="1"/>
      <c r="E37" s="91" t="s">
        <v>39</v>
      </c>
      <c r="J37" s="82" t="s">
        <v>29</v>
      </c>
    </row>
    <row r="38" spans="1:10" ht="20.100000000000001" customHeight="1"/>
  </sheetData>
  <mergeCells count="23">
    <mergeCell ref="I35:J35"/>
    <mergeCell ref="I29:J29"/>
    <mergeCell ref="I28:J28"/>
    <mergeCell ref="I30:J30"/>
    <mergeCell ref="B7:C7"/>
    <mergeCell ref="B8:C8"/>
    <mergeCell ref="B9:C9"/>
    <mergeCell ref="B10:C10"/>
    <mergeCell ref="I27:J27"/>
    <mergeCell ref="E7:E8"/>
    <mergeCell ref="B11:C11"/>
    <mergeCell ref="E10:E11"/>
    <mergeCell ref="B12:C12"/>
    <mergeCell ref="I31:J31"/>
    <mergeCell ref="I32:J32"/>
    <mergeCell ref="A2:J2"/>
    <mergeCell ref="I33:J33"/>
    <mergeCell ref="I34:J34"/>
    <mergeCell ref="A3:J3"/>
    <mergeCell ref="A5:C5"/>
    <mergeCell ref="E5:J5"/>
    <mergeCell ref="E13:E14"/>
    <mergeCell ref="E16:E17"/>
  </mergeCells>
  <dataValidations count="4">
    <dataValidation type="whole" allowBlank="1" showInputMessage="1" showErrorMessage="1" sqref="B10:C10">
      <formula1>1</formula1>
      <formula2>4</formula2>
    </dataValidation>
    <dataValidation type="whole" allowBlank="1" showInputMessage="1" showErrorMessage="1" sqref="B9:C9">
      <formula1>1</formula1>
      <formula2>5</formula2>
    </dataValidation>
    <dataValidation type="whole" operator="greaterThan" allowBlank="1" showInputMessage="1" showErrorMessage="1" sqref="B12:C12">
      <formula1>-1</formula1>
    </dataValidation>
    <dataValidation type="whole" allowBlank="1" showInputMessage="1" showErrorMessage="1" sqref="B11:C11">
      <formula1>-1</formula1>
      <formula2>B9*2</formula2>
    </dataValidation>
  </dataValidations>
  <hyperlinks>
    <hyperlink ref="J37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61" orientation="landscape" r:id="rId1"/>
  <ignoredErrors>
    <ignoredError sqref="B10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K43"/>
  <sheetViews>
    <sheetView tabSelected="1" zoomScale="70" zoomScaleNormal="70" workbookViewId="0">
      <selection activeCell="O20" sqref="O20"/>
    </sheetView>
  </sheetViews>
  <sheetFormatPr defaultColWidth="9.140625" defaultRowHeight="18.75"/>
  <cols>
    <col min="1" max="1" width="82.710937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6" width="14.28515625" style="4" hidden="1" customWidth="1"/>
    <col min="7" max="7" width="16.42578125" style="4" hidden="1" customWidth="1"/>
    <col min="8" max="8" width="20.7109375" style="4" hidden="1" customWidth="1"/>
    <col min="9" max="9" width="16.7109375" style="4" customWidth="1"/>
    <col min="10" max="10" width="13.42578125" style="4" customWidth="1"/>
    <col min="11" max="16384" width="9.140625" style="4"/>
  </cols>
  <sheetData>
    <row r="1" spans="1:10">
      <c r="A1" s="66"/>
    </row>
    <row r="2" spans="1:10" s="1" customFormat="1" ht="27.6" customHeight="1">
      <c r="A2" s="99" t="s">
        <v>45</v>
      </c>
      <c r="B2" s="99"/>
      <c r="C2" s="99"/>
      <c r="D2" s="100"/>
      <c r="E2" s="100"/>
      <c r="F2" s="100"/>
      <c r="G2" s="100"/>
      <c r="H2" s="100"/>
      <c r="I2" s="100"/>
      <c r="J2" s="100"/>
    </row>
    <row r="3" spans="1:10" s="13" customFormat="1" ht="26.1" customHeight="1">
      <c r="A3" s="99" t="s">
        <v>21</v>
      </c>
      <c r="B3" s="99"/>
      <c r="C3" s="99"/>
      <c r="D3" s="100"/>
      <c r="E3" s="100"/>
      <c r="F3" s="100"/>
      <c r="G3" s="100"/>
      <c r="H3" s="100"/>
      <c r="I3" s="100"/>
      <c r="J3" s="100"/>
    </row>
    <row r="4" spans="1:10" s="13" customFormat="1" ht="20.100000000000001" customHeight="1">
      <c r="A4" s="14"/>
      <c r="B4" s="14"/>
      <c r="C4" s="14"/>
      <c r="E4" s="17"/>
      <c r="F4" s="17"/>
      <c r="G4" s="17"/>
      <c r="H4" s="17"/>
      <c r="I4" s="17"/>
      <c r="J4" s="17"/>
    </row>
    <row r="5" spans="1:10" s="13" customFormat="1" ht="20.100000000000001" customHeight="1">
      <c r="A5" s="101" t="s">
        <v>12</v>
      </c>
      <c r="B5" s="101"/>
      <c r="C5" s="101"/>
      <c r="E5" s="101" t="s">
        <v>11</v>
      </c>
      <c r="F5" s="101"/>
      <c r="G5" s="101"/>
      <c r="H5" s="101"/>
      <c r="I5" s="101"/>
      <c r="J5" s="101"/>
    </row>
    <row r="6" spans="1:10" s="13" customFormat="1" ht="20.100000000000001" customHeight="1" thickBot="1">
      <c r="A6" s="22"/>
      <c r="B6" s="22"/>
      <c r="C6" s="22"/>
      <c r="E6" s="22"/>
      <c r="F6" s="22"/>
      <c r="G6" s="22"/>
      <c r="H6" s="22"/>
      <c r="I6" s="22"/>
      <c r="J6" s="22"/>
    </row>
    <row r="7" spans="1:10" s="1" customFormat="1" ht="20.100000000000001" customHeight="1">
      <c r="A7" s="86" t="s">
        <v>23</v>
      </c>
      <c r="B7" s="133">
        <v>2000</v>
      </c>
      <c r="C7" s="134"/>
      <c r="E7" s="114" t="s">
        <v>8</v>
      </c>
      <c r="F7" s="25"/>
      <c r="G7" s="25"/>
      <c r="H7" s="25"/>
      <c r="I7" s="8" t="s">
        <v>6</v>
      </c>
      <c r="J7" s="56">
        <f>B7-10+16</f>
        <v>2006</v>
      </c>
    </row>
    <row r="8" spans="1:10" s="1" customFormat="1" ht="20.100000000000001" customHeight="1" thickBot="1">
      <c r="A8" s="5" t="s">
        <v>19</v>
      </c>
      <c r="B8" s="108">
        <v>2000</v>
      </c>
      <c r="C8" s="109"/>
      <c r="E8" s="115"/>
      <c r="F8" s="26"/>
      <c r="G8" s="26"/>
      <c r="H8" s="26"/>
      <c r="I8" s="20" t="s">
        <v>7</v>
      </c>
      <c r="J8" s="57">
        <f>(B8+B10*10)/B9</f>
        <v>1005</v>
      </c>
    </row>
    <row r="9" spans="1:10" s="1" customFormat="1" ht="20.100000000000001" customHeight="1" thickBot="1">
      <c r="A9" s="5" t="s">
        <v>1</v>
      </c>
      <c r="B9" s="110">
        <v>2</v>
      </c>
      <c r="C9" s="111"/>
      <c r="E9" s="11"/>
      <c r="F9" s="11"/>
      <c r="G9" s="11"/>
      <c r="H9" s="11"/>
      <c r="I9" s="18"/>
      <c r="J9" s="58"/>
    </row>
    <row r="10" spans="1:10" s="1" customFormat="1" ht="20.100000000000001" customHeight="1">
      <c r="A10" s="5" t="s">
        <v>2</v>
      </c>
      <c r="B10" s="110">
        <f>B9-1</f>
        <v>1</v>
      </c>
      <c r="C10" s="111"/>
      <c r="E10" s="102" t="str">
        <f>'Видимый верхний трек'!E10:E11</f>
        <v>Полотно двери без учёта уплотнителя (размеры для плиты толщиной 10мм):</v>
      </c>
      <c r="F10" s="27"/>
      <c r="G10" s="27"/>
      <c r="H10" s="27"/>
      <c r="I10" s="24" t="s">
        <v>13</v>
      </c>
      <c r="J10" s="56">
        <f>J7-1.3*B12-1.3*2</f>
        <v>2000.8000000000002</v>
      </c>
    </row>
    <row r="11" spans="1:10" s="1" customFormat="1" ht="20.100000000000001" customHeight="1" thickBot="1">
      <c r="A11" s="7" t="str">
        <f>'Видимый верхний трек'!A11</f>
        <v>Количество доводчиков общее, штук</v>
      </c>
      <c r="B11" s="116">
        <v>2</v>
      </c>
      <c r="C11" s="117"/>
      <c r="E11" s="103"/>
      <c r="F11" s="47"/>
      <c r="G11" s="47"/>
      <c r="H11" s="47"/>
      <c r="I11" s="20" t="s">
        <v>7</v>
      </c>
      <c r="J11" s="57">
        <f>J8-1.6*2</f>
        <v>1001.8</v>
      </c>
    </row>
    <row r="12" spans="1:10" s="1" customFormat="1" ht="20.100000000000001" customHeight="1" thickBot="1">
      <c r="A12" s="87" t="s">
        <v>31</v>
      </c>
      <c r="B12" s="131">
        <v>2</v>
      </c>
      <c r="C12" s="132"/>
      <c r="E12" s="11"/>
      <c r="F12" s="11"/>
      <c r="G12" s="11"/>
      <c r="H12" s="11"/>
      <c r="I12" s="18"/>
      <c r="J12" s="52"/>
    </row>
    <row r="13" spans="1:10" s="1" customFormat="1" ht="20.100000000000001" customHeight="1">
      <c r="A13" s="85"/>
      <c r="B13" s="130"/>
      <c r="C13" s="130"/>
      <c r="E13" s="102" t="s">
        <v>55</v>
      </c>
      <c r="F13" s="27"/>
      <c r="G13" s="27"/>
      <c r="H13" s="27"/>
      <c r="I13" s="24" t="s">
        <v>38</v>
      </c>
      <c r="J13" s="56">
        <f>J10-2-B12*2</f>
        <v>1994.8000000000002</v>
      </c>
    </row>
    <row r="14" spans="1:10" s="1" customFormat="1" ht="20.100000000000001" customHeight="1" thickBot="1">
      <c r="A14" s="1" t="s">
        <v>17</v>
      </c>
      <c r="E14" s="103"/>
      <c r="F14" s="47"/>
      <c r="G14" s="47"/>
      <c r="H14" s="47"/>
      <c r="I14" s="20" t="s">
        <v>7</v>
      </c>
      <c r="J14" s="57">
        <f>J11-2</f>
        <v>999.8</v>
      </c>
    </row>
    <row r="15" spans="1:10" s="1" customFormat="1" ht="20.100000000000001" customHeight="1" thickBot="1">
      <c r="A15" s="1" t="s">
        <v>24</v>
      </c>
      <c r="E15" s="11"/>
      <c r="F15" s="11"/>
      <c r="G15" s="11"/>
      <c r="H15" s="11"/>
      <c r="I15" s="18"/>
      <c r="J15" s="52"/>
    </row>
    <row r="16" spans="1:10" s="1" customFormat="1" ht="20.100000000000001" customHeight="1">
      <c r="E16" s="102" t="s">
        <v>56</v>
      </c>
      <c r="F16" s="27"/>
      <c r="G16" s="27"/>
      <c r="H16" s="27"/>
      <c r="I16" s="24" t="s">
        <v>38</v>
      </c>
      <c r="J16" s="56">
        <f>J10-3-B12*3</f>
        <v>1991.8000000000002</v>
      </c>
    </row>
    <row r="17" spans="1:11" s="1" customFormat="1" ht="20.100000000000001" customHeight="1" thickBot="1">
      <c r="E17" s="103"/>
      <c r="F17" s="47"/>
      <c r="G17" s="47"/>
      <c r="H17" s="47"/>
      <c r="I17" s="20" t="s">
        <v>7</v>
      </c>
      <c r="J17" s="57">
        <f>J11-3</f>
        <v>998.8</v>
      </c>
    </row>
    <row r="18" spans="1:11" s="1" customFormat="1" ht="20.100000000000001" customHeight="1" thickBot="1">
      <c r="E18" s="11"/>
      <c r="F18" s="11"/>
      <c r="G18" s="11"/>
      <c r="H18" s="11"/>
      <c r="I18" s="12"/>
      <c r="J18" s="23"/>
    </row>
    <row r="19" spans="1:11" s="1" customFormat="1" ht="20.100000000000001" customHeight="1">
      <c r="A19" s="1" t="s">
        <v>18</v>
      </c>
      <c r="E19" s="10" t="s">
        <v>3</v>
      </c>
      <c r="F19" s="41" t="s">
        <v>27</v>
      </c>
      <c r="G19" s="41" t="s">
        <v>26</v>
      </c>
      <c r="H19" s="46" t="s">
        <v>28</v>
      </c>
      <c r="I19" s="8" t="s">
        <v>4</v>
      </c>
      <c r="J19" s="9" t="s">
        <v>5</v>
      </c>
      <c r="K19" s="3"/>
    </row>
    <row r="20" spans="1:11" s="1" customFormat="1" ht="20.100000000000001" customHeight="1">
      <c r="E20" s="15" t="str">
        <f>'Видимый верхний трек'!E20</f>
        <v>Направляющая верхняя CKRU0046</v>
      </c>
      <c r="F20" s="29">
        <v>1352</v>
      </c>
      <c r="G20" s="33">
        <f>F20/5400*((I20*5/100)+I20)*J20</f>
        <v>516.83955555555553</v>
      </c>
      <c r="H20" s="33">
        <f>G20*4.06</f>
        <v>2098.3685955555552</v>
      </c>
      <c r="I20" s="65">
        <f>B8-2-32</f>
        <v>1966</v>
      </c>
      <c r="J20" s="60">
        <v>1</v>
      </c>
    </row>
    <row r="21" spans="1:11" s="1" customFormat="1" ht="20.100000000000001" customHeight="1">
      <c r="E21" s="15" t="str">
        <f>'Видимый верхний трек'!E21</f>
        <v>Направляющая нижняя CKRU0504</v>
      </c>
      <c r="F21" s="29">
        <v>636.4</v>
      </c>
      <c r="G21" s="33">
        <f>F21/5400*((I21*5/100)+I21)*J21</f>
        <v>247.2414</v>
      </c>
      <c r="H21" s="33">
        <f>G21*4.06</f>
        <v>1003.8000839999999</v>
      </c>
      <c r="I21" s="65">
        <f>B8-2</f>
        <v>1998</v>
      </c>
      <c r="J21" s="60">
        <v>1</v>
      </c>
    </row>
    <row r="22" spans="1:11" s="1" customFormat="1" ht="20.100000000000001" customHeight="1">
      <c r="E22" s="5" t="str">
        <f>'Видимый верхний трек'!E22</f>
        <v>SL Вертикальный профиль CKRU0650</v>
      </c>
      <c r="F22" s="42">
        <v>357.5</v>
      </c>
      <c r="G22" s="42">
        <f>F22*J22</f>
        <v>1430</v>
      </c>
      <c r="H22" s="33">
        <f>G22*4.06</f>
        <v>5805.7999999999993</v>
      </c>
      <c r="I22" s="61">
        <f>J7</f>
        <v>2006</v>
      </c>
      <c r="J22" s="62">
        <f>B9*2</f>
        <v>4</v>
      </c>
    </row>
    <row r="23" spans="1:11" s="1" customFormat="1" ht="20.100000000000001" customHeight="1">
      <c r="E23" s="5" t="s">
        <v>52</v>
      </c>
      <c r="F23" s="42">
        <v>165</v>
      </c>
      <c r="G23" s="34">
        <f>(I23*J23/5400)*F23</f>
        <v>120.46222222222222</v>
      </c>
      <c r="H23" s="33">
        <f>G23*4.06</f>
        <v>489.07662222222217</v>
      </c>
      <c r="I23" s="61">
        <f>J8-2*9.7</f>
        <v>985.6</v>
      </c>
      <c r="J23" s="62">
        <f>B9*2</f>
        <v>4</v>
      </c>
    </row>
    <row r="24" spans="1:11" s="1" customFormat="1" ht="20.100000000000001" customHeight="1" thickBot="1">
      <c r="E24" s="6" t="str">
        <f>'Видимый верхний трек'!E25</f>
        <v>SL Рамка горизонтальная средняя CKRU0590</v>
      </c>
      <c r="F24" s="88"/>
      <c r="G24" s="88"/>
      <c r="H24" s="88"/>
      <c r="I24" s="63">
        <f>I23</f>
        <v>985.6</v>
      </c>
      <c r="J24" s="64">
        <f>B12*B9</f>
        <v>4</v>
      </c>
    </row>
    <row r="25" spans="1:11" s="1" customFormat="1" ht="20.100000000000001" customHeight="1" thickBot="1">
      <c r="E25" s="3"/>
      <c r="F25" s="43"/>
      <c r="G25" s="43"/>
      <c r="H25" s="43"/>
      <c r="I25" s="53"/>
      <c r="J25" s="89"/>
    </row>
    <row r="26" spans="1:11" s="1" customFormat="1" ht="20.100000000000001" customHeight="1">
      <c r="E26" s="16" t="s">
        <v>9</v>
      </c>
      <c r="F26" s="41" t="s">
        <v>27</v>
      </c>
      <c r="G26" s="41" t="s">
        <v>26</v>
      </c>
      <c r="H26" s="41"/>
      <c r="I26" s="112" t="s">
        <v>5</v>
      </c>
      <c r="J26" s="113"/>
    </row>
    <row r="27" spans="1:11" s="1" customFormat="1" ht="20.100000000000001" customHeight="1">
      <c r="E27" s="5" t="str">
        <f>'Видимый верхний трек'!E28</f>
        <v>SL Комплект роликов Type V</v>
      </c>
      <c r="F27" s="44">
        <v>216</v>
      </c>
      <c r="G27" s="44">
        <f>F27*I27</f>
        <v>432</v>
      </c>
      <c r="H27" s="33">
        <f t="shared" ref="H27:H30" si="0">G27*4.06</f>
        <v>1753.9199999999998</v>
      </c>
      <c r="I27" s="106">
        <f>B9</f>
        <v>2</v>
      </c>
      <c r="J27" s="107"/>
    </row>
    <row r="28" spans="1:11" s="1" customFormat="1" ht="20.100000000000001" customHeight="1">
      <c r="E28" s="5" t="s">
        <v>49</v>
      </c>
      <c r="F28" s="44">
        <v>180</v>
      </c>
      <c r="G28" s="44">
        <f t="shared" ref="G28:G34" si="1">F28*I28</f>
        <v>1080</v>
      </c>
      <c r="H28" s="33">
        <f t="shared" si="0"/>
        <v>4384.7999999999993</v>
      </c>
      <c r="I28" s="106">
        <f>B9*2+B11</f>
        <v>6</v>
      </c>
      <c r="J28" s="107"/>
    </row>
    <row r="29" spans="1:11" s="1" customFormat="1" ht="20.100000000000001" customHeight="1">
      <c r="E29" s="5" t="str">
        <f>'Видимый верхний трек'!E29</f>
        <v>Доводчик, штук</v>
      </c>
      <c r="F29" s="44">
        <v>528</v>
      </c>
      <c r="G29" s="44">
        <f t="shared" si="1"/>
        <v>1056</v>
      </c>
      <c r="H29" s="33">
        <f t="shared" si="0"/>
        <v>4287.3599999999997</v>
      </c>
      <c r="I29" s="106">
        <f>B11</f>
        <v>2</v>
      </c>
      <c r="J29" s="107"/>
    </row>
    <row r="30" spans="1:11" s="1" customFormat="1" ht="20.100000000000001" customHeight="1">
      <c r="E30" s="5" t="str">
        <f>'Видимый верхний трек'!E30</f>
        <v>Позиционер верхний или нижний</v>
      </c>
      <c r="F30" s="44">
        <v>32.92</v>
      </c>
      <c r="G30" s="44">
        <f t="shared" si="1"/>
        <v>65.84</v>
      </c>
      <c r="H30" s="33">
        <f t="shared" si="0"/>
        <v>267.31040000000002</v>
      </c>
      <c r="I30" s="106">
        <f>B9*2-B11</f>
        <v>2</v>
      </c>
      <c r="J30" s="107"/>
    </row>
    <row r="31" spans="1:11" s="1" customFormat="1" ht="20.100000000000001" customHeight="1">
      <c r="E31" s="5" t="s">
        <v>36</v>
      </c>
      <c r="F31" s="32">
        <v>0.8</v>
      </c>
      <c r="G31" s="32">
        <f>F31*I31</f>
        <v>6.4</v>
      </c>
      <c r="H31" s="95">
        <f>G31*4.06</f>
        <v>25.983999999999998</v>
      </c>
      <c r="I31" s="106">
        <f>J23*2</f>
        <v>8</v>
      </c>
      <c r="J31" s="107"/>
    </row>
    <row r="32" spans="1:11" ht="19.5" customHeight="1">
      <c r="B32" s="4"/>
      <c r="C32" s="4"/>
      <c r="D32" s="1"/>
      <c r="E32" s="92" t="s">
        <v>53</v>
      </c>
      <c r="F32" s="93">
        <v>0.31</v>
      </c>
      <c r="G32" s="94">
        <f t="shared" si="1"/>
        <v>4.96</v>
      </c>
      <c r="H32" s="33">
        <f>G32*4.06</f>
        <v>20.137599999999999</v>
      </c>
      <c r="I32" s="126">
        <f>(J23+J24)*2</f>
        <v>16</v>
      </c>
      <c r="J32" s="127"/>
    </row>
    <row r="33" spans="1:10" ht="19.5" customHeight="1">
      <c r="B33" s="4"/>
      <c r="C33" s="4"/>
      <c r="D33" s="1"/>
      <c r="E33" s="5" t="s">
        <v>35</v>
      </c>
      <c r="F33" s="32">
        <v>6.56</v>
      </c>
      <c r="G33" s="32">
        <f t="shared" si="1"/>
        <v>32.799999999999997</v>
      </c>
      <c r="H33" s="33">
        <f t="shared" ref="H33:H34" si="2">G33*4.06</f>
        <v>133.16799999999998</v>
      </c>
      <c r="I33" s="97">
        <f>CEILING((J22-2)*J7/1000,1)</f>
        <v>5</v>
      </c>
      <c r="J33" s="98"/>
    </row>
    <row r="34" spans="1:10" ht="19.5" customHeight="1" thickBot="1">
      <c r="B34" s="4"/>
      <c r="C34" s="4"/>
      <c r="D34" s="1"/>
      <c r="E34" s="6" t="s">
        <v>10</v>
      </c>
      <c r="F34" s="83">
        <v>9.0500000000000007</v>
      </c>
      <c r="G34" s="83">
        <f t="shared" si="1"/>
        <v>36.200000000000003</v>
      </c>
      <c r="H34" s="84">
        <f t="shared" si="2"/>
        <v>146.97200000000001</v>
      </c>
      <c r="I34" s="128">
        <f>CEILING(I21*2/1000,1)</f>
        <v>4</v>
      </c>
      <c r="J34" s="129"/>
    </row>
    <row r="35" spans="1:10" ht="20.100000000000001" customHeight="1">
      <c r="B35" s="4"/>
      <c r="C35" s="4"/>
      <c r="D35" s="1"/>
      <c r="E35" s="1"/>
      <c r="F35" s="1"/>
      <c r="G35" s="1"/>
      <c r="H35" s="1"/>
      <c r="I35" s="1"/>
      <c r="J35" s="1"/>
    </row>
    <row r="36" spans="1:10" ht="20.100000000000001" customHeight="1">
      <c r="B36" s="4"/>
      <c r="C36" s="4"/>
      <c r="E36" s="90" t="str">
        <f>'Видимый верхний трек'!E37</f>
        <v>При необходимости - использовать соответствующие уплотнители</v>
      </c>
      <c r="F36" s="45"/>
      <c r="G36" s="45"/>
      <c r="H36" s="45"/>
      <c r="I36" s="37"/>
      <c r="J36" s="38"/>
    </row>
    <row r="37" spans="1:10" ht="20.100000000000001" customHeight="1">
      <c r="A37" s="19"/>
      <c r="B37" s="19"/>
      <c r="C37" s="4"/>
      <c r="E37" s="69" t="s">
        <v>14</v>
      </c>
      <c r="F37" s="69"/>
      <c r="G37" s="69"/>
      <c r="H37" s="69"/>
      <c r="I37" s="70"/>
      <c r="J37" s="70"/>
    </row>
    <row r="38" spans="1:10" ht="44.25" customHeight="1">
      <c r="E38" s="124" t="s">
        <v>50</v>
      </c>
      <c r="F38" s="124"/>
      <c r="G38" s="124"/>
      <c r="H38" s="124"/>
      <c r="I38" s="125"/>
      <c r="J38" s="125"/>
    </row>
    <row r="39" spans="1:10" ht="20.100000000000001" customHeight="1"/>
    <row r="40" spans="1:10" ht="36" customHeight="1"/>
    <row r="41" spans="1:10" ht="36" customHeight="1">
      <c r="J41" s="82" t="s">
        <v>29</v>
      </c>
    </row>
    <row r="42" spans="1:10" ht="20.100000000000001" hidden="1" customHeight="1"/>
    <row r="43" spans="1:10">
      <c r="E43" s="35"/>
      <c r="F43" s="36"/>
      <c r="G43" s="36"/>
      <c r="H43" s="36"/>
    </row>
  </sheetData>
  <mergeCells count="25">
    <mergeCell ref="B13:C13"/>
    <mergeCell ref="I26:J26"/>
    <mergeCell ref="I27:J27"/>
    <mergeCell ref="B12:C12"/>
    <mergeCell ref="A2:J2"/>
    <mergeCell ref="A5:C5"/>
    <mergeCell ref="E5:J5"/>
    <mergeCell ref="E7:E8"/>
    <mergeCell ref="B7:C7"/>
    <mergeCell ref="A3:J3"/>
    <mergeCell ref="B8:C8"/>
    <mergeCell ref="B9:C9"/>
    <mergeCell ref="E10:E11"/>
    <mergeCell ref="B10:C10"/>
    <mergeCell ref="B11:C11"/>
    <mergeCell ref="E13:E14"/>
    <mergeCell ref="E16:E17"/>
    <mergeCell ref="I28:J28"/>
    <mergeCell ref="I29:J29"/>
    <mergeCell ref="E38:J38"/>
    <mergeCell ref="I32:J32"/>
    <mergeCell ref="I34:J34"/>
    <mergeCell ref="I31:J31"/>
    <mergeCell ref="I33:J33"/>
    <mergeCell ref="I30:J30"/>
  </mergeCells>
  <dataValidations count="4">
    <dataValidation type="whole" allowBlank="1" showInputMessage="1" showErrorMessage="1" sqref="B11:C11">
      <formula1>-1</formula1>
      <formula2>B9*2</formula2>
    </dataValidation>
    <dataValidation type="whole" operator="greaterThan" allowBlank="1" showInputMessage="1" showErrorMessage="1" sqref="B12:C13">
      <formula1>-1</formula1>
    </dataValidation>
    <dataValidation type="whole" allowBlank="1" showInputMessage="1" showErrorMessage="1" sqref="B9:C9">
      <formula1>1</formula1>
      <formula2>5</formula2>
    </dataValidation>
    <dataValidation type="whole" allowBlank="1" showInputMessage="1" showErrorMessage="1" sqref="B10:C10">
      <formula1>1</formula1>
      <formula2>4</formula2>
    </dataValidation>
  </dataValidations>
  <hyperlinks>
    <hyperlink ref="J41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ignoredErrors>
    <ignoredError sqref="B10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J45"/>
  <sheetViews>
    <sheetView zoomScale="70" zoomScaleNormal="70" workbookViewId="0">
      <selection activeCell="M42" sqref="M42"/>
    </sheetView>
  </sheetViews>
  <sheetFormatPr defaultColWidth="9.140625" defaultRowHeight="18.75"/>
  <cols>
    <col min="1" max="1" width="82.7109375" style="4" customWidth="1"/>
    <col min="2" max="3" width="14.7109375" style="2" customWidth="1"/>
    <col min="4" max="4" width="3.7109375" style="4" customWidth="1"/>
    <col min="5" max="5" width="89.5703125" style="4" bestFit="1" customWidth="1"/>
    <col min="6" max="8" width="17.5703125" style="4" hidden="1" customWidth="1"/>
    <col min="9" max="9" width="16.7109375" style="4" customWidth="1"/>
    <col min="10" max="10" width="13.42578125" style="4" customWidth="1"/>
    <col min="11" max="16384" width="9.140625" style="4"/>
  </cols>
  <sheetData>
    <row r="1" spans="1:10">
      <c r="A1" s="66"/>
    </row>
    <row r="2" spans="1:10" s="1" customFormat="1" ht="27.6" customHeight="1">
      <c r="A2" s="99" t="str">
        <f>'Видимый верхний трек'!A2:J2</f>
        <v>РАСЧЁТ ДВЕРЕЙ ARISTO SlimLine</v>
      </c>
      <c r="B2" s="99"/>
      <c r="C2" s="99"/>
      <c r="D2" s="100"/>
      <c r="E2" s="100"/>
      <c r="F2" s="100"/>
      <c r="G2" s="100"/>
      <c r="H2" s="100"/>
      <c r="I2" s="100"/>
      <c r="J2" s="100"/>
    </row>
    <row r="3" spans="1:10" s="13" customFormat="1" ht="26.1" customHeight="1">
      <c r="A3" s="99" t="s">
        <v>22</v>
      </c>
      <c r="B3" s="99"/>
      <c r="C3" s="99"/>
      <c r="D3" s="100"/>
      <c r="E3" s="100"/>
      <c r="F3" s="100"/>
      <c r="G3" s="100"/>
      <c r="H3" s="100"/>
      <c r="I3" s="100"/>
      <c r="J3" s="100"/>
    </row>
    <row r="4" spans="1:10" s="13" customFormat="1" ht="20.100000000000001" customHeight="1">
      <c r="A4" s="14"/>
      <c r="B4" s="14"/>
      <c r="C4" s="14"/>
      <c r="E4" s="17"/>
      <c r="F4" s="17"/>
      <c r="G4" s="17"/>
      <c r="H4" s="17"/>
      <c r="I4" s="17"/>
      <c r="J4" s="17"/>
    </row>
    <row r="5" spans="1:10" s="13" customFormat="1" ht="20.100000000000001" customHeight="1">
      <c r="A5" s="101" t="s">
        <v>12</v>
      </c>
      <c r="B5" s="101"/>
      <c r="C5" s="101"/>
      <c r="E5" s="101" t="s">
        <v>11</v>
      </c>
      <c r="F5" s="101"/>
      <c r="G5" s="101"/>
      <c r="H5" s="101"/>
      <c r="I5" s="101"/>
      <c r="J5" s="101"/>
    </row>
    <row r="6" spans="1:10" s="13" customFormat="1" ht="20.100000000000001" customHeight="1" thickBot="1">
      <c r="A6" s="22"/>
      <c r="B6" s="22"/>
      <c r="C6" s="22"/>
      <c r="E6" s="22"/>
      <c r="F6" s="22"/>
      <c r="G6" s="22"/>
      <c r="H6" s="22"/>
      <c r="I6" s="22"/>
      <c r="J6" s="22"/>
    </row>
    <row r="7" spans="1:10" s="1" customFormat="1" ht="20.100000000000001" customHeight="1">
      <c r="A7" s="5" t="s">
        <v>0</v>
      </c>
      <c r="B7" s="108">
        <v>2000</v>
      </c>
      <c r="C7" s="109"/>
      <c r="E7" s="114" t="str">
        <f>'Видимый верхний трек'!E7:E8</f>
        <v>Размеры двери с учётом шлегеля:</v>
      </c>
      <c r="F7" s="25"/>
      <c r="G7" s="25"/>
      <c r="H7" s="25"/>
      <c r="I7" s="8" t="s">
        <v>6</v>
      </c>
      <c r="J7" s="56">
        <f>B7-10-24</f>
        <v>1966</v>
      </c>
    </row>
    <row r="8" spans="1:10" s="1" customFormat="1" ht="20.100000000000001" customHeight="1" thickBot="1">
      <c r="A8" s="5" t="s">
        <v>19</v>
      </c>
      <c r="B8" s="108">
        <v>2000</v>
      </c>
      <c r="C8" s="109"/>
      <c r="E8" s="115"/>
      <c r="F8" s="26"/>
      <c r="G8" s="26"/>
      <c r="H8" s="26"/>
      <c r="I8" s="20" t="s">
        <v>7</v>
      </c>
      <c r="J8" s="57">
        <f>(B8-10+B10*10)/B9</f>
        <v>1000</v>
      </c>
    </row>
    <row r="9" spans="1:10" s="1" customFormat="1" ht="20.100000000000001" customHeight="1" thickBot="1">
      <c r="A9" s="5" t="s">
        <v>1</v>
      </c>
      <c r="B9" s="110">
        <v>2</v>
      </c>
      <c r="C9" s="111"/>
      <c r="E9" s="11"/>
      <c r="F9" s="11"/>
      <c r="G9" s="11"/>
      <c r="H9" s="11"/>
      <c r="I9" s="18"/>
      <c r="J9" s="58"/>
    </row>
    <row r="10" spans="1:10" s="1" customFormat="1" ht="20.100000000000001" customHeight="1">
      <c r="A10" s="5" t="s">
        <v>2</v>
      </c>
      <c r="B10" s="138">
        <f>B9-1</f>
        <v>1</v>
      </c>
      <c r="C10" s="139"/>
      <c r="E10" s="102" t="str">
        <f>'Видимый верхний трек'!E10:E11</f>
        <v>Полотно двери без учёта уплотнителя (размеры для плиты толщиной 10мм):</v>
      </c>
      <c r="F10" s="27"/>
      <c r="G10" s="27"/>
      <c r="H10" s="27"/>
      <c r="I10" s="24" t="s">
        <v>13</v>
      </c>
      <c r="J10" s="56">
        <f>J7-1.3*B12-1.3*2</f>
        <v>1960.8000000000002</v>
      </c>
    </row>
    <row r="11" spans="1:10" s="1" customFormat="1" ht="20.100000000000001" customHeight="1" thickBot="1">
      <c r="A11" s="7" t="s">
        <v>16</v>
      </c>
      <c r="B11" s="118">
        <v>2</v>
      </c>
      <c r="C11" s="119"/>
      <c r="E11" s="137"/>
      <c r="F11" s="47"/>
      <c r="G11" s="47"/>
      <c r="H11" s="47"/>
      <c r="I11" s="20" t="s">
        <v>7</v>
      </c>
      <c r="J11" s="57">
        <f>J8-1.6*2</f>
        <v>996.8</v>
      </c>
    </row>
    <row r="12" spans="1:10" s="1" customFormat="1" ht="20.100000000000001" customHeight="1" thickBot="1">
      <c r="A12" s="40" t="s">
        <v>31</v>
      </c>
      <c r="B12" s="118">
        <v>2</v>
      </c>
      <c r="C12" s="119"/>
      <c r="E12" s="11"/>
      <c r="F12" s="11"/>
      <c r="G12" s="11"/>
      <c r="H12" s="11"/>
      <c r="I12" s="18"/>
      <c r="J12" s="52"/>
    </row>
    <row r="13" spans="1:10" s="1" customFormat="1" ht="20.100000000000001" customHeight="1">
      <c r="E13" s="102" t="s">
        <v>55</v>
      </c>
      <c r="F13" s="27"/>
      <c r="G13" s="27"/>
      <c r="H13" s="27"/>
      <c r="I13" s="24" t="s">
        <v>38</v>
      </c>
      <c r="J13" s="56">
        <f>J10-2-B12*2</f>
        <v>1954.8000000000002</v>
      </c>
    </row>
    <row r="14" spans="1:10" s="1" customFormat="1" ht="20.100000000000001" customHeight="1" thickBot="1">
      <c r="A14" s="1" t="s">
        <v>17</v>
      </c>
      <c r="E14" s="103"/>
      <c r="F14" s="47"/>
      <c r="G14" s="47"/>
      <c r="H14" s="47"/>
      <c r="I14" s="20" t="s">
        <v>7</v>
      </c>
      <c r="J14" s="57">
        <f>J11-2</f>
        <v>994.8</v>
      </c>
    </row>
    <row r="15" spans="1:10" s="1" customFormat="1" ht="20.100000000000001" customHeight="1" thickBot="1">
      <c r="C15" s="55"/>
      <c r="E15" s="11"/>
      <c r="F15" s="11"/>
      <c r="G15" s="11"/>
      <c r="H15" s="11"/>
      <c r="I15" s="18"/>
      <c r="J15" s="52"/>
    </row>
    <row r="16" spans="1:10" s="1" customFormat="1" ht="20.100000000000001" customHeight="1">
      <c r="C16" s="55"/>
      <c r="E16" s="102" t="s">
        <v>56</v>
      </c>
      <c r="F16" s="27"/>
      <c r="G16" s="27"/>
      <c r="H16" s="27"/>
      <c r="I16" s="24" t="s">
        <v>38</v>
      </c>
      <c r="J16" s="56">
        <f>J10-3-B12*3</f>
        <v>1951.8000000000002</v>
      </c>
    </row>
    <row r="17" spans="1:10" s="1" customFormat="1" ht="20.100000000000001" customHeight="1" thickBot="1">
      <c r="E17" s="103"/>
      <c r="F17" s="47"/>
      <c r="G17" s="47"/>
      <c r="H17" s="47"/>
      <c r="I17" s="20" t="s">
        <v>7</v>
      </c>
      <c r="J17" s="57">
        <f>J11-3</f>
        <v>993.8</v>
      </c>
    </row>
    <row r="18" spans="1:10" s="1" customFormat="1" ht="20.100000000000001" customHeight="1" thickBot="1">
      <c r="E18" s="11"/>
      <c r="F18" s="11"/>
      <c r="G18" s="11"/>
      <c r="H18" s="11"/>
      <c r="I18" s="12"/>
      <c r="J18" s="23"/>
    </row>
    <row r="19" spans="1:10" s="1" customFormat="1" ht="20.100000000000001" customHeight="1">
      <c r="E19" s="10" t="s">
        <v>3</v>
      </c>
      <c r="F19" s="41" t="s">
        <v>27</v>
      </c>
      <c r="G19" s="41" t="s">
        <v>26</v>
      </c>
      <c r="H19" s="46" t="s">
        <v>28</v>
      </c>
      <c r="I19" s="8" t="s">
        <v>4</v>
      </c>
      <c r="J19" s="9" t="s">
        <v>5</v>
      </c>
    </row>
    <row r="20" spans="1:10" s="1" customFormat="1" ht="20.100000000000001" customHeight="1">
      <c r="E20" s="15" t="str">
        <f>'Видимый верхний трек'!E20</f>
        <v>Направляющая верхняя CKRU0046</v>
      </c>
      <c r="F20" s="29">
        <v>1352</v>
      </c>
      <c r="G20" s="33">
        <f>F20/5400*((I20*5/100)+I20)*J20</f>
        <v>525.25199999999995</v>
      </c>
      <c r="H20" s="33">
        <f>G20*4.06</f>
        <v>2132.5231199999994</v>
      </c>
      <c r="I20" s="59">
        <f>B8-2</f>
        <v>1998</v>
      </c>
      <c r="J20" s="60">
        <v>1</v>
      </c>
    </row>
    <row r="21" spans="1:10" s="1" customFormat="1" ht="20.100000000000001" customHeight="1">
      <c r="E21" s="15" t="str">
        <f>'Видимый верхний трек'!E21</f>
        <v>Направляющая нижняя CKRU0504</v>
      </c>
      <c r="F21" s="29">
        <v>636.4</v>
      </c>
      <c r="G21" s="33">
        <f>F21/5400*((I21*5/100)+I21)*J21</f>
        <v>247.2414</v>
      </c>
      <c r="H21" s="33">
        <f t="shared" ref="H21:H24" si="0">G21*4.06</f>
        <v>1003.8000839999999</v>
      </c>
      <c r="I21" s="59">
        <f>B8-2</f>
        <v>1998</v>
      </c>
      <c r="J21" s="60">
        <v>1</v>
      </c>
    </row>
    <row r="22" spans="1:10" s="1" customFormat="1" ht="20.100000000000001" customHeight="1">
      <c r="E22" s="5" t="str">
        <f>'Видимый верхний трек'!E22</f>
        <v>SL Вертикальный профиль CKRU0650</v>
      </c>
      <c r="F22" s="30">
        <v>357.5</v>
      </c>
      <c r="G22" s="30">
        <f>F22*J22</f>
        <v>1430</v>
      </c>
      <c r="H22" s="33">
        <f t="shared" si="0"/>
        <v>5805.7999999999993</v>
      </c>
      <c r="I22" s="61">
        <f>J7</f>
        <v>1966</v>
      </c>
      <c r="J22" s="62">
        <f>B9*2</f>
        <v>4</v>
      </c>
    </row>
    <row r="23" spans="1:10" s="1" customFormat="1" ht="20.100000000000001" customHeight="1">
      <c r="A23" s="1" t="s">
        <v>18</v>
      </c>
      <c r="E23" s="5" t="str">
        <f>'Скрытый верхний трек, корпус'!E23</f>
        <v>SL Рамка горизонтальная широкая (верх+низ двери) CKRU0589</v>
      </c>
      <c r="F23" s="30">
        <v>165</v>
      </c>
      <c r="G23" s="34">
        <f t="shared" ref="G23:G24" si="1">(I23*J23/5400)*F23</f>
        <v>119.85111111111111</v>
      </c>
      <c r="H23" s="33">
        <f t="shared" si="0"/>
        <v>486.59551111111108</v>
      </c>
      <c r="I23" s="61">
        <f>J8-2*9.7</f>
        <v>980.6</v>
      </c>
      <c r="J23" s="62">
        <f>B12*2</f>
        <v>4</v>
      </c>
    </row>
    <row r="24" spans="1:10" s="1" customFormat="1" ht="20.100000000000001" customHeight="1" thickBot="1">
      <c r="E24" s="6" t="str">
        <f>'Видимый верхний трек'!E25</f>
        <v>SL Рамка горизонтальная средняя CKRU0590</v>
      </c>
      <c r="F24" s="31">
        <v>731.5</v>
      </c>
      <c r="G24" s="50">
        <f t="shared" si="1"/>
        <v>531.33992592592585</v>
      </c>
      <c r="H24" s="84">
        <f t="shared" si="0"/>
        <v>2157.2400992592588</v>
      </c>
      <c r="I24" s="63">
        <f>I23</f>
        <v>980.6</v>
      </c>
      <c r="J24" s="64">
        <f>B12*B9</f>
        <v>4</v>
      </c>
    </row>
    <row r="25" spans="1:10" s="1" customFormat="1" ht="20.100000000000001" customHeight="1" thickBot="1">
      <c r="E25" s="3"/>
      <c r="F25" s="48"/>
      <c r="G25" s="48"/>
      <c r="H25" s="48"/>
      <c r="I25" s="53"/>
      <c r="J25" s="54"/>
    </row>
    <row r="26" spans="1:10" s="1" customFormat="1" ht="20.100000000000001" customHeight="1">
      <c r="E26" s="16" t="s">
        <v>9</v>
      </c>
      <c r="F26" s="49" t="s">
        <v>27</v>
      </c>
      <c r="G26" s="49" t="s">
        <v>26</v>
      </c>
      <c r="H26" s="49"/>
      <c r="I26" s="135" t="s">
        <v>5</v>
      </c>
      <c r="J26" s="136"/>
    </row>
    <row r="27" spans="1:10" s="1" customFormat="1" ht="20.100000000000001" customHeight="1">
      <c r="E27" s="5" t="str">
        <f>'Видимый верхний трек'!E28</f>
        <v>SL Комплект роликов Type V</v>
      </c>
      <c r="F27" s="44">
        <v>216</v>
      </c>
      <c r="G27" s="44">
        <f>F27*I27</f>
        <v>432</v>
      </c>
      <c r="H27" s="33">
        <f t="shared" ref="H27:H30" si="2">G27*4.06</f>
        <v>1753.9199999999998</v>
      </c>
      <c r="I27" s="106">
        <f>B9</f>
        <v>2</v>
      </c>
      <c r="J27" s="107"/>
    </row>
    <row r="28" spans="1:10" s="1" customFormat="1" ht="20.100000000000001" customHeight="1">
      <c r="E28" s="5" t="s">
        <v>49</v>
      </c>
      <c r="F28" s="44">
        <v>180</v>
      </c>
      <c r="G28" s="44">
        <f t="shared" ref="G28:G35" si="3">F28*I28</f>
        <v>1080</v>
      </c>
      <c r="H28" s="33">
        <f t="shared" si="2"/>
        <v>4384.7999999999993</v>
      </c>
      <c r="I28" s="106">
        <f>B9*2+B11</f>
        <v>6</v>
      </c>
      <c r="J28" s="107"/>
    </row>
    <row r="29" spans="1:10" s="1" customFormat="1" ht="20.100000000000001" customHeight="1">
      <c r="E29" s="5" t="str">
        <f>'Видимый верхний трек'!E29</f>
        <v>Доводчик, штук</v>
      </c>
      <c r="F29" s="44">
        <v>528</v>
      </c>
      <c r="G29" s="44">
        <f t="shared" si="3"/>
        <v>1056</v>
      </c>
      <c r="H29" s="33">
        <f t="shared" si="2"/>
        <v>4287.3599999999997</v>
      </c>
      <c r="I29" s="106">
        <f>B11</f>
        <v>2</v>
      </c>
      <c r="J29" s="107"/>
    </row>
    <row r="30" spans="1:10" s="1" customFormat="1" ht="20.100000000000001" customHeight="1">
      <c r="E30" s="5" t="str">
        <f>'Видимый верхний трек'!E30</f>
        <v>Позиционер верхний или нижний</v>
      </c>
      <c r="F30" s="44">
        <v>32.92</v>
      </c>
      <c r="G30" s="44">
        <f t="shared" si="3"/>
        <v>65.84</v>
      </c>
      <c r="H30" s="33">
        <f t="shared" si="2"/>
        <v>267.31040000000002</v>
      </c>
      <c r="I30" s="106">
        <f>B9*2-B11</f>
        <v>2</v>
      </c>
      <c r="J30" s="107"/>
    </row>
    <row r="31" spans="1:10" s="1" customFormat="1" ht="20.100000000000001" customHeight="1">
      <c r="E31" s="51" t="s">
        <v>34</v>
      </c>
      <c r="F31" s="32">
        <v>22</v>
      </c>
      <c r="G31" s="32">
        <f t="shared" si="3"/>
        <v>176</v>
      </c>
      <c r="H31" s="33">
        <f>G31*4.06</f>
        <v>714.56</v>
      </c>
      <c r="I31" s="120">
        <f>CEILING(J22*J7/1000,1)</f>
        <v>8</v>
      </c>
      <c r="J31" s="121"/>
    </row>
    <row r="32" spans="1:10" s="1" customFormat="1" ht="19.5" customHeight="1">
      <c r="E32" s="5" t="s">
        <v>37</v>
      </c>
      <c r="F32" s="39">
        <v>0.31</v>
      </c>
      <c r="G32" s="32">
        <f t="shared" si="3"/>
        <v>2.48</v>
      </c>
      <c r="H32" s="33">
        <f>G32*4.06</f>
        <v>10.0688</v>
      </c>
      <c r="I32" s="122">
        <f>J22*2</f>
        <v>8</v>
      </c>
      <c r="J32" s="123"/>
    </row>
    <row r="33" spans="1:10" s="1" customFormat="1" ht="20.100000000000001" customHeight="1">
      <c r="E33" s="5" t="s">
        <v>35</v>
      </c>
      <c r="F33" s="32">
        <v>6.56</v>
      </c>
      <c r="G33" s="32">
        <f t="shared" si="3"/>
        <v>26.24</v>
      </c>
      <c r="H33" s="33">
        <f t="shared" ref="H33:H35" si="4">G33*4.06</f>
        <v>106.53439999999998</v>
      </c>
      <c r="I33" s="97">
        <f>CEILING((J22-2)*J7/1000,1)</f>
        <v>4</v>
      </c>
      <c r="J33" s="98"/>
    </row>
    <row r="34" spans="1:10" s="1" customFormat="1" ht="20.100000000000001" customHeight="1">
      <c r="E34" s="5" t="s">
        <v>10</v>
      </c>
      <c r="F34" s="32">
        <v>9.0500000000000007</v>
      </c>
      <c r="G34" s="32">
        <f t="shared" si="3"/>
        <v>36.200000000000003</v>
      </c>
      <c r="H34" s="33">
        <f t="shared" si="4"/>
        <v>146.97200000000001</v>
      </c>
      <c r="I34" s="97">
        <f>CEILING(I21*2/1000,1)</f>
        <v>4</v>
      </c>
      <c r="J34" s="98"/>
    </row>
    <row r="35" spans="1:10" s="1" customFormat="1" ht="20.100000000000001" customHeight="1" thickBot="1">
      <c r="E35" s="6" t="s">
        <v>36</v>
      </c>
      <c r="F35" s="83">
        <v>0.8</v>
      </c>
      <c r="G35" s="83">
        <f t="shared" si="3"/>
        <v>6.4</v>
      </c>
      <c r="H35" s="84">
        <f t="shared" si="4"/>
        <v>25.983999999999998</v>
      </c>
      <c r="I35" s="104">
        <f>B12*B9*2</f>
        <v>8</v>
      </c>
      <c r="J35" s="105"/>
    </row>
    <row r="36" spans="1:10" ht="20.100000000000001" customHeight="1">
      <c r="B36" s="4"/>
      <c r="C36" s="4"/>
      <c r="D36" s="1"/>
      <c r="E36" s="91" t="str">
        <f>'Видимый верхний трек'!E37</f>
        <v>При необходимости - использовать соответствующие уплотнители</v>
      </c>
    </row>
    <row r="37" spans="1:10" ht="20.100000000000001" customHeight="1">
      <c r="B37" s="4"/>
      <c r="C37" s="4"/>
      <c r="D37" s="1"/>
      <c r="E37" s="67" t="str">
        <f>'Скрытый верхний трек, корпус'!E37</f>
        <v xml:space="preserve">* по внутреннему проёму шкафа, зависит от наличия боковин и их толщины </v>
      </c>
      <c r="F37" s="67"/>
      <c r="G37" s="67"/>
      <c r="H37" s="67"/>
      <c r="I37" s="68"/>
      <c r="J37" s="68"/>
    </row>
    <row r="38" spans="1:10" ht="36.75" customHeight="1">
      <c r="B38" s="4"/>
      <c r="C38" s="4"/>
      <c r="D38" s="1"/>
      <c r="E38" s="124" t="str">
        <f>'Скрытый верхний трек, корпус'!E38:J38</f>
        <v>**по 2 шт. на дверь, внутренние AFL-01/внешние AFL-03 - по расположению дверей. При монтаже доводчика требуется дополнительный кронштейн (доводчик устанавливается на 2 кронштейна).</v>
      </c>
      <c r="F38" s="124"/>
      <c r="G38" s="124"/>
      <c r="H38" s="124"/>
      <c r="I38" s="125"/>
      <c r="J38" s="125"/>
    </row>
    <row r="39" spans="1:10" ht="20.100000000000001" customHeight="1">
      <c r="B39" s="4"/>
      <c r="C39" s="4"/>
      <c r="D39" s="1"/>
    </row>
    <row r="40" spans="1:10" ht="20.100000000000001" customHeight="1">
      <c r="B40" s="4"/>
      <c r="C40" s="4"/>
      <c r="J40" s="82" t="s">
        <v>29</v>
      </c>
    </row>
    <row r="41" spans="1:10" ht="33" customHeight="1">
      <c r="A41" s="19"/>
      <c r="B41" s="19"/>
      <c r="C41" s="4"/>
    </row>
    <row r="42" spans="1:10" ht="21" customHeight="1"/>
    <row r="43" spans="1:10" ht="20.100000000000001" customHeight="1">
      <c r="E43" s="35"/>
      <c r="F43" s="36"/>
      <c r="G43" s="36"/>
      <c r="H43" s="36"/>
    </row>
    <row r="44" spans="1:10" ht="21.75" customHeight="1"/>
    <row r="45" spans="1:10" ht="18" customHeight="1"/>
  </sheetData>
  <mergeCells count="25">
    <mergeCell ref="E10:E11"/>
    <mergeCell ref="B9:C9"/>
    <mergeCell ref="B12:C12"/>
    <mergeCell ref="B10:C10"/>
    <mergeCell ref="B11:C11"/>
    <mergeCell ref="A2:J2"/>
    <mergeCell ref="A5:C5"/>
    <mergeCell ref="E5:J5"/>
    <mergeCell ref="E7:E8"/>
    <mergeCell ref="B7:C7"/>
    <mergeCell ref="A3:J3"/>
    <mergeCell ref="B8:C8"/>
    <mergeCell ref="I26:J26"/>
    <mergeCell ref="I27:J27"/>
    <mergeCell ref="E13:E14"/>
    <mergeCell ref="E16:E17"/>
    <mergeCell ref="E38:J38"/>
    <mergeCell ref="I30:J30"/>
    <mergeCell ref="I29:J29"/>
    <mergeCell ref="I28:J28"/>
    <mergeCell ref="I31:J31"/>
    <mergeCell ref="I32:J32"/>
    <mergeCell ref="I33:J33"/>
    <mergeCell ref="I34:J34"/>
    <mergeCell ref="I35:J35"/>
  </mergeCells>
  <dataValidations count="4">
    <dataValidation type="whole" allowBlank="1" showInputMessage="1" showErrorMessage="1" sqref="B11">
      <formula1>-1</formula1>
      <formula2>B9*2</formula2>
    </dataValidation>
    <dataValidation type="whole" operator="greaterThan" allowBlank="1" showInputMessage="1" showErrorMessage="1" sqref="B12">
      <formula1>-1</formula1>
    </dataValidation>
    <dataValidation type="whole" allowBlank="1" showInputMessage="1" showErrorMessage="1" sqref="B9:C9">
      <formula1>1</formula1>
      <formula2>5</formula2>
    </dataValidation>
    <dataValidation type="whole" allowBlank="1" showInputMessage="1" showErrorMessage="1" sqref="B10">
      <formula1>1</formula1>
      <formula2>4</formula2>
    </dataValidation>
  </dataValidations>
  <hyperlinks>
    <hyperlink ref="J40" location="Оглавление!A1" display="оглавление"/>
  </hyperlinks>
  <printOptions horizontalCentered="1"/>
  <pageMargins left="0.39370078740157483" right="0.39370078740157483" top="0.39370078740157483" bottom="0.39370078740157483" header="0" footer="0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3</vt:i4>
      </vt:variant>
    </vt:vector>
  </HeadingPairs>
  <TitlesOfParts>
    <vt:vector size="7" baseType="lpstr">
      <vt:lpstr>Оглавление</vt:lpstr>
      <vt:lpstr>Видимый верхний трек</vt:lpstr>
      <vt:lpstr>Скрытый верхний трек, корпус</vt:lpstr>
      <vt:lpstr>Скрытый верхний трек, проем</vt:lpstr>
      <vt:lpstr>'Видимый верхний трек'!Область_печати</vt:lpstr>
      <vt:lpstr>'Скрытый верхний трек, корпус'!Область_печати</vt:lpstr>
      <vt:lpstr>'Скрытый верхний трек, проем'!Область_печати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2020-01-10T11:17:48Z</dcterms:modified>
</cp:coreProperties>
</file>